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codeName="ThisWorkbook" defaultThemeVersion="124226"/>
  <mc:AlternateContent xmlns:mc="http://schemas.openxmlformats.org/markup-compatibility/2006">
    <mc:Choice Requires="x15">
      <x15ac:absPath xmlns:x15ac="http://schemas.microsoft.com/office/spreadsheetml/2010/11/ac" url="C:\Users\Steven\Desktop\Clients - ME\Kittery\FEMA\"/>
    </mc:Choice>
  </mc:AlternateContent>
  <bookViews>
    <workbookView xWindow="0" yWindow="0" windowWidth="28800" windowHeight="11610" tabRatio="906"/>
  </bookViews>
  <sheets>
    <sheet name="doc" sheetId="3" r:id="rId1"/>
    <sheet name="York Submitted CLIN7 2016" sheetId="9" r:id="rId2"/>
  </sheets>
  <definedNames>
    <definedName name="_xlnm._FilterDatabase" localSheetId="1" hidden="1">'York Submitted CLIN7 2016'!$A$2:$BB$52</definedName>
    <definedName name="Z_01CE4CB5_43A1_4441_98CB_9B13BF396D1B_.wvu.FilterData" localSheetId="1" hidden="1">'York Submitted CLIN7 2016'!$A$2:$BB$52</definedName>
    <definedName name="Z_074035AF_ABEA_4DFB_9FAF_434245CB5C88_.wvu.FilterData" localSheetId="1" hidden="1">'York Submitted CLIN7 2016'!$A$2:$BB$52</definedName>
    <definedName name="Z_14667284_62AD_4BEB_B143_626A07467FEF_.wvu.FilterData" localSheetId="1" hidden="1">'York Submitted CLIN7 2016'!$A$2:$BB$52</definedName>
    <definedName name="Z_1EAA7F18_DF99_4ACF_BFB7_178AE756FFC4_.wvu.FilterData" localSheetId="1" hidden="1">'York Submitted CLIN7 2016'!$A$2:$BB$52</definedName>
    <definedName name="Z_1EC755D5_F415_476A_9686_3C163AE62831_.wvu.FilterData" localSheetId="1" hidden="1">'York Submitted CLIN7 2016'!$A$2:$BB$52</definedName>
    <definedName name="Z_351D9196_0FCB_42E9_8765_25C758878EA5_.wvu.FilterData" localSheetId="1" hidden="1">'York Submitted CLIN7 2016'!$A$2:$BB$52</definedName>
    <definedName name="Z_394DD9BE_454D_49B7_8292_C3720E378428_.wvu.FilterData" localSheetId="1" hidden="1">'York Submitted CLIN7 2016'!$A$2:$BB$52</definedName>
    <definedName name="Z_440D533D_7152_468B_A661_7B523ACFD304_.wvu.FilterData" localSheetId="1" hidden="1">'York Submitted CLIN7 2016'!$A$2:$BB$52</definedName>
    <definedName name="Z_49DABB0D_50D2_4231_A291_739563B278F7_.wvu.FilterData" localSheetId="1" hidden="1">'York Submitted CLIN7 2016'!$A$2:$BB$52</definedName>
    <definedName name="Z_4F6C9C03_6C55_41EF_B47D_43F980709561_.wvu.Cols" localSheetId="1" hidden="1">'York Submitted CLIN7 2016'!$B:$D,'York Submitted CLIN7 2016'!$G:$H,'York Submitted CLIN7 2016'!$AP:$AS</definedName>
    <definedName name="Z_4F6C9C03_6C55_41EF_B47D_43F980709561_.wvu.FilterData" localSheetId="1" hidden="1">'York Submitted CLIN7 2016'!$A$2:$BB$52</definedName>
    <definedName name="Z_60B11C13_14AB_4499_8EC6_F084A8E8879F_.wvu.FilterData" localSheetId="1" hidden="1">'York Submitted CLIN7 2016'!$A$2:$BB$52</definedName>
    <definedName name="Z_65927E45_892F_4BCA_951B_D6EE3E4A1194_.wvu.FilterData" localSheetId="1" hidden="1">'York Submitted CLIN7 2016'!$A$2:$BB$52</definedName>
    <definedName name="Z_70613950_0069_49D6_B350_71C38C6FF91B_.wvu.Cols" localSheetId="1" hidden="1">'York Submitted CLIN7 2016'!$B:$D</definedName>
    <definedName name="Z_70613950_0069_49D6_B350_71C38C6FF91B_.wvu.FilterData" localSheetId="1" hidden="1">'York Submitted CLIN7 2016'!$A$2:$BB$52</definedName>
    <definedName name="Z_7A29113A_61A0_43B7_B08C_448836547E66_.wvu.Cols" localSheetId="1" hidden="1">'York Submitted CLIN7 2016'!$B:$D,'York Submitted CLIN7 2016'!$AQ:$AS</definedName>
    <definedName name="Z_7A29113A_61A0_43B7_B08C_448836547E66_.wvu.FilterData" localSheetId="1" hidden="1">'York Submitted CLIN7 2016'!$A$2:$BB$52</definedName>
    <definedName name="Z_7AB86A3D_605C_4E62_B927_74DC20BAFA59_.wvu.FilterData" localSheetId="1" hidden="1">'York Submitted CLIN7 2016'!$A$2:$BB$52</definedName>
    <definedName name="Z_817E48C4_29EE_4E69_ADF0_5770D11CED75_.wvu.FilterData" localSheetId="1" hidden="1">'York Submitted CLIN7 2016'!$A$2:$BB$52</definedName>
    <definedName name="Z_85936435_B45D_41ED_B3BC_8DDAED5D76C1_.wvu.FilterData" localSheetId="1" hidden="1">'York Submitted CLIN7 2016'!$A$2:$BB$52</definedName>
    <definedName name="Z_8EAB88AB_5B12_407E_8B41_3C65AAB0990C_.wvu.FilterData" localSheetId="1" hidden="1">'York Submitted CLIN7 2016'!$A$2:$BB$52</definedName>
    <definedName name="Z_A063F067_3720_4F17_80D9_022450B129CC_.wvu.FilterData" localSheetId="1" hidden="1">'York Submitted CLIN7 2016'!$A$2:$BB$52</definedName>
    <definedName name="Z_A670C775_CAAE_4037_A30F_7FBBA42C8C0C_.wvu.FilterData" localSheetId="1" hidden="1">'York Submitted CLIN7 2016'!$A$2:$BB$52</definedName>
    <definedName name="Z_B0FB347B_8EA6_4780_B025_A67F9891CB1D_.wvu.FilterData" localSheetId="1" hidden="1">'York Submitted CLIN7 2016'!$A$2:$BB$52</definedName>
    <definedName name="Z_B1851C53_BD4A_428E_B33E_88168805BEF2_.wvu.FilterData" localSheetId="1" hidden="1">'York Submitted CLIN7 2016'!$A$2:$BB$52</definedName>
    <definedName name="Z_B2AC13F8_8803_4938_A122_D6609740C5F9_.wvu.Cols" localSheetId="1" hidden="1">'York Submitted CLIN7 2016'!$B:$D,'York Submitted CLIN7 2016'!$AQ:$AS</definedName>
    <definedName name="Z_B2AC13F8_8803_4938_A122_D6609740C5F9_.wvu.FilterData" localSheetId="1" hidden="1">'York Submitted CLIN7 2016'!$A$2:$BB$52</definedName>
    <definedName name="Z_B4F07511_E46B_4C82_A229_DBCA0053658E_.wvu.FilterData" localSheetId="1" hidden="1">'York Submitted CLIN7 2016'!$A$2:$BB$52</definedName>
    <definedName name="Z_BA89DC9B_858D_47A6_9479_DCCFD9B3CDBD_.wvu.FilterData" localSheetId="1" hidden="1">'York Submitted CLIN7 2016'!$A$2:$BB$52</definedName>
    <definedName name="Z_BFF25E14_62FF_4420_944D_36454345F104_.wvu.Cols" localSheetId="1" hidden="1">'York Submitted CLIN7 2016'!$B:$D,'York Submitted CLIN7 2016'!$G:$H</definedName>
    <definedName name="Z_BFF25E14_62FF_4420_944D_36454345F104_.wvu.FilterData" localSheetId="1" hidden="1">'York Submitted CLIN7 2016'!$A$2:$BB$52</definedName>
    <definedName name="Z_CFF2FEF1_3A46_4673_8BBD_E06F3482BB9E_.wvu.FilterData" localSheetId="1" hidden="1">'York Submitted CLIN7 2016'!$A$2:$BB$52</definedName>
    <definedName name="Z_CFFD7D15_8089_4D7F_B5CD_03D3C31EAF12_.wvu.Cols" localSheetId="1" hidden="1">'York Submitted CLIN7 2016'!$B:$D,'York Submitted CLIN7 2016'!$G:$H,'York Submitted CLIN7 2016'!$N:$O,'York Submitted CLIN7 2016'!$AE:$AE</definedName>
    <definedName name="Z_CFFD7D15_8089_4D7F_B5CD_03D3C31EAF12_.wvu.FilterData" localSheetId="1" hidden="1">'York Submitted CLIN7 2016'!$A$2:$BB$52</definedName>
    <definedName name="Z_D019C15D_205F_4E77_886B_F7882941AEFD_.wvu.FilterData" localSheetId="1" hidden="1">'York Submitted CLIN7 2016'!$A$2:$BB$52</definedName>
    <definedName name="Z_D14A6271_5D51_4D12_B43F_064C164C257B_.wvu.FilterData" localSheetId="1" hidden="1">'York Submitted CLIN7 2016'!$A$2:$BB$52</definedName>
    <definedName name="Z_E3E5F9D7_0E60_4528_94B4_F0D2FED58268_.wvu.FilterData" localSheetId="1" hidden="1">'York Submitted CLIN7 2016'!$A$2:$BB$52</definedName>
    <definedName name="Z_E4ED866E_2548_4C3C_A968_68D935A58746_.wvu.FilterData" localSheetId="1" hidden="1">'York Submitted CLIN7 2016'!$A$2:$BB$52</definedName>
    <definedName name="Z_E7B9086A_6C57_4D04_8077_FE4A4F6ACED5_.wvu.FilterData" localSheetId="1" hidden="1">'York Submitted CLIN7 2016'!$A$2:$BB$52</definedName>
    <definedName name="Z_EC026799_538B_4AD5_8E65_B0E52B41839B_.wvu.FilterData" localSheetId="1" hidden="1">'York Submitted CLIN7 2016'!$A$2:$BB$52</definedName>
    <definedName name="Z_F0387214_3BDA_4006_9E21_387E20EAB1EC_.wvu.Cols" localSheetId="1" hidden="1">'York Submitted CLIN7 2016'!$B:$D,'York Submitted CLIN7 2016'!$H:$H,'York Submitted CLIN7 2016'!$AA:$AJ,'York Submitted CLIN7 2016'!$AL:$AL</definedName>
    <definedName name="Z_F0387214_3BDA_4006_9E21_387E20EAB1EC_.wvu.FilterData" localSheetId="1" hidden="1">'York Submitted CLIN7 2016'!$A$2:$BB$52</definedName>
    <definedName name="Z_F2BF8C92_E87F_43CF_B0EF_CAD1F1357DFC_.wvu.FilterData" localSheetId="1" hidden="1">'York Submitted CLIN7 2016'!$A$2:$BB$52</definedName>
  </definedNames>
  <calcPr calcId="162913"/>
  <customWorkbookViews>
    <customWorkbookView name="BuiFA - Personal View" guid="{F0387214-3BDA-4006-9E21-387E20EAB1EC}" mergeInterval="0" personalView="1" maximized="1" windowWidth="1436" windowHeight="645" tabRatio="705" activeSheetId="4"/>
    <customWorkbookView name="KEK - Personal View" guid="{CFFD7D15-8089-4D7F-B5CD-03D3C31EAF12}" mergeInterval="0" personalView="1" maximized="1" xWindow="1" yWindow="1" windowWidth="1271" windowHeight="790" tabRatio="705" activeSheetId="4"/>
    <customWorkbookView name="BobC - Personal View" guid="{B2AC13F8-8803-4938-A122-D6609740C5F9}" mergeInterval="0" personalView="1" maximized="1" xWindow="1" yWindow="1" windowWidth="1680" windowHeight="858" tabRatio="596" activeSheetId="4"/>
    <customWorkbookView name="CDM - Personal View" guid="{BFF25E14-62FF-4420-944D-36454345F104}" mergeInterval="0" personalView="1" maximized="1" xWindow="1" yWindow="1" windowWidth="1440" windowHeight="679" tabRatio="735" activeSheetId="4"/>
    <customWorkbookView name="Frannie Bui - Personal View" guid="{7A29113A-61A0-43B7-B08C-448836547E66}" mergeInterval="0" personalView="1" maximized="1" xWindow="1" yWindow="1" windowWidth="1191" windowHeight="834" tabRatio="906" activeSheetId="4"/>
    <customWorkbookView name="KLONSKYLS - Personal View" guid="{4F6C9C03-6C55-41EF-B47D-43F980709561}" mergeInterval="0" personalView="1" maximized="1" xWindow="1" yWindow="1" windowWidth="1440" windowHeight="678" tabRatio="705" activeSheetId="7"/>
    <customWorkbookView name="AH - Personal View" guid="{70613950-0069-49D6-B350-71C38C6FF91B}" mergeInterval="0" personalView="1" maximized="1" xWindow="1" yWindow="1" windowWidth="1240" windowHeight="735" tabRatio="906" activeSheetId="4"/>
  </customWorkbookViews>
</workbook>
</file>

<file path=xl/calcChain.xml><?xml version="1.0" encoding="utf-8"?>
<calcChain xmlns="http://schemas.openxmlformats.org/spreadsheetml/2006/main">
  <c r="AD145" i="9" l="1"/>
  <c r="X145" i="9"/>
  <c r="O145" i="9"/>
  <c r="K145" i="9"/>
  <c r="I145" i="9"/>
  <c r="AD144" i="9"/>
  <c r="X144" i="9"/>
  <c r="O144" i="9"/>
  <c r="M144" i="9"/>
  <c r="N144" i="9" s="1"/>
  <c r="K144" i="9"/>
  <c r="I144" i="9"/>
  <c r="L144" i="9" s="1"/>
  <c r="AD143" i="9"/>
  <c r="X143" i="9"/>
  <c r="T143" i="9"/>
  <c r="U143" i="9" s="1"/>
  <c r="O143" i="9"/>
  <c r="K143" i="9"/>
  <c r="I143" i="9"/>
  <c r="L143" i="9" s="1"/>
  <c r="M143" i="9" s="1"/>
  <c r="N143" i="9" s="1"/>
  <c r="AD142" i="9"/>
  <c r="X142" i="9"/>
  <c r="O142" i="9"/>
  <c r="K142" i="9"/>
  <c r="L142" i="9" s="1"/>
  <c r="M142" i="9" s="1"/>
  <c r="N142" i="9" s="1"/>
  <c r="I142" i="9"/>
  <c r="AD141" i="9"/>
  <c r="X141" i="9"/>
  <c r="T141" i="9"/>
  <c r="U141" i="9" s="1"/>
  <c r="O141" i="9"/>
  <c r="K141" i="9"/>
  <c r="I141" i="9"/>
  <c r="AD140" i="9"/>
  <c r="X140" i="9"/>
  <c r="O140" i="9"/>
  <c r="K140" i="9"/>
  <c r="I140" i="9"/>
  <c r="L140" i="9" s="1"/>
  <c r="M140" i="9" s="1"/>
  <c r="N140" i="9" s="1"/>
  <c r="AD139" i="9"/>
  <c r="X139" i="9"/>
  <c r="T139" i="9"/>
  <c r="U139" i="9" s="1"/>
  <c r="O139" i="9"/>
  <c r="K139" i="9"/>
  <c r="I139" i="9"/>
  <c r="L139" i="9" s="1"/>
  <c r="M139" i="9" s="1"/>
  <c r="N139" i="9" s="1"/>
  <c r="AD138" i="9"/>
  <c r="X138" i="9"/>
  <c r="O138" i="9"/>
  <c r="K138" i="9"/>
  <c r="I138" i="9"/>
  <c r="L138" i="9" s="1"/>
  <c r="M138" i="9" s="1"/>
  <c r="N138" i="9" s="1"/>
  <c r="AD137" i="9"/>
  <c r="X137" i="9"/>
  <c r="O137" i="9"/>
  <c r="K137" i="9"/>
  <c r="I137" i="9"/>
  <c r="AD136" i="9"/>
  <c r="X136" i="9"/>
  <c r="O136" i="9"/>
  <c r="M136" i="9"/>
  <c r="N136" i="9" s="1"/>
  <c r="K136" i="9"/>
  <c r="I136" i="9"/>
  <c r="L136" i="9" s="1"/>
  <c r="AD135" i="9"/>
  <c r="X135" i="9"/>
  <c r="T135" i="9"/>
  <c r="U135" i="9" s="1"/>
  <c r="O135" i="9"/>
  <c r="K135" i="9"/>
  <c r="I135" i="9"/>
  <c r="L135" i="9" s="1"/>
  <c r="M135" i="9" s="1"/>
  <c r="N135" i="9" s="1"/>
  <c r="AD134" i="9"/>
  <c r="X134" i="9"/>
  <c r="O134" i="9"/>
  <c r="K134" i="9"/>
  <c r="L134" i="9" s="1"/>
  <c r="M134" i="9" s="1"/>
  <c r="N134" i="9" s="1"/>
  <c r="I134" i="9"/>
  <c r="AD133" i="9"/>
  <c r="X133" i="9"/>
  <c r="T133" i="9"/>
  <c r="U133" i="9" s="1"/>
  <c r="O133" i="9"/>
  <c r="K133" i="9"/>
  <c r="I133" i="9"/>
  <c r="AD132" i="9"/>
  <c r="X132" i="9"/>
  <c r="O132" i="9"/>
  <c r="K132" i="9"/>
  <c r="I132" i="9"/>
  <c r="L132" i="9" s="1"/>
  <c r="M132" i="9" s="1"/>
  <c r="N132" i="9" s="1"/>
  <c r="AD131" i="9"/>
  <c r="X131" i="9"/>
  <c r="T131" i="9"/>
  <c r="U131" i="9" s="1"/>
  <c r="O131" i="9"/>
  <c r="K131" i="9"/>
  <c r="I131" i="9"/>
  <c r="L131" i="9" s="1"/>
  <c r="M131" i="9" s="1"/>
  <c r="N131" i="9" s="1"/>
  <c r="AD130" i="9"/>
  <c r="X130" i="9"/>
  <c r="O130" i="9"/>
  <c r="K130" i="9"/>
  <c r="I130" i="9"/>
  <c r="L130" i="9" s="1"/>
  <c r="M130" i="9" s="1"/>
  <c r="N130" i="9" s="1"/>
  <c r="AD129" i="9"/>
  <c r="X129" i="9"/>
  <c r="O129" i="9"/>
  <c r="K129" i="9"/>
  <c r="I129" i="9"/>
  <c r="AD128" i="9"/>
  <c r="X128" i="9"/>
  <c r="O128" i="9"/>
  <c r="M128" i="9"/>
  <c r="N128" i="9" s="1"/>
  <c r="K128" i="9"/>
  <c r="I128" i="9"/>
  <c r="L128" i="9" s="1"/>
  <c r="AD127" i="9"/>
  <c r="X127" i="9"/>
  <c r="T127" i="9"/>
  <c r="U127" i="9" s="1"/>
  <c r="O127" i="9"/>
  <c r="K127" i="9"/>
  <c r="I127" i="9"/>
  <c r="L127" i="9" s="1"/>
  <c r="M127" i="9" s="1"/>
  <c r="N127" i="9" s="1"/>
  <c r="AD126" i="9"/>
  <c r="X126" i="9"/>
  <c r="O126" i="9"/>
  <c r="K126" i="9"/>
  <c r="L126" i="9" s="1"/>
  <c r="M126" i="9" s="1"/>
  <c r="N126" i="9" s="1"/>
  <c r="I126" i="9"/>
  <c r="AD125" i="9"/>
  <c r="X125" i="9"/>
  <c r="T125" i="9"/>
  <c r="U125" i="9" s="1"/>
  <c r="O125" i="9"/>
  <c r="K125" i="9"/>
  <c r="I125" i="9"/>
  <c r="AD124" i="9"/>
  <c r="X124" i="9"/>
  <c r="O124" i="9"/>
  <c r="K124" i="9"/>
  <c r="I124" i="9"/>
  <c r="L124" i="9" s="1"/>
  <c r="M124" i="9" s="1"/>
  <c r="N124" i="9" s="1"/>
  <c r="AD123" i="9"/>
  <c r="X123" i="9"/>
  <c r="T123" i="9"/>
  <c r="U123" i="9" s="1"/>
  <c r="O123" i="9"/>
  <c r="K123" i="9"/>
  <c r="I123" i="9"/>
  <c r="L123" i="9" s="1"/>
  <c r="M123" i="9" s="1"/>
  <c r="N123" i="9" s="1"/>
  <c r="AD122" i="9"/>
  <c r="X122" i="9"/>
  <c r="O122" i="9"/>
  <c r="K122" i="9"/>
  <c r="I122" i="9"/>
  <c r="L122" i="9" s="1"/>
  <c r="M122" i="9" s="1"/>
  <c r="N122" i="9" s="1"/>
  <c r="AD121" i="9"/>
  <c r="X121" i="9"/>
  <c r="O121" i="9"/>
  <c r="K121" i="9"/>
  <c r="I121" i="9"/>
  <c r="AD120" i="9"/>
  <c r="X120" i="9"/>
  <c r="O120" i="9"/>
  <c r="M120" i="9"/>
  <c r="N120" i="9" s="1"/>
  <c r="K120" i="9"/>
  <c r="I120" i="9"/>
  <c r="L120" i="9" s="1"/>
  <c r="AD119" i="9"/>
  <c r="X119" i="9"/>
  <c r="T119" i="9"/>
  <c r="U119" i="9" s="1"/>
  <c r="O119" i="9"/>
  <c r="K119" i="9"/>
  <c r="I119" i="9"/>
  <c r="L119" i="9" s="1"/>
  <c r="M119" i="9" s="1"/>
  <c r="N119" i="9" s="1"/>
  <c r="AD118" i="9"/>
  <c r="X118" i="9"/>
  <c r="O118" i="9"/>
  <c r="K118" i="9"/>
  <c r="L118" i="9" s="1"/>
  <c r="M118" i="9" s="1"/>
  <c r="N118" i="9" s="1"/>
  <c r="I118" i="9"/>
  <c r="AD117" i="9"/>
  <c r="X117" i="9"/>
  <c r="T117" i="9"/>
  <c r="U117" i="9" s="1"/>
  <c r="O117" i="9"/>
  <c r="K117" i="9"/>
  <c r="I117" i="9"/>
  <c r="AD116" i="9"/>
  <c r="X116" i="9"/>
  <c r="O116" i="9"/>
  <c r="K116" i="9"/>
  <c r="I116" i="9"/>
  <c r="L116" i="9" s="1"/>
  <c r="M116" i="9" s="1"/>
  <c r="N116" i="9" s="1"/>
  <c r="AD115" i="9"/>
  <c r="X115" i="9"/>
  <c r="T115" i="9"/>
  <c r="U115" i="9" s="1"/>
  <c r="O115" i="9"/>
  <c r="K115" i="9"/>
  <c r="I115" i="9"/>
  <c r="L115" i="9" s="1"/>
  <c r="M115" i="9" s="1"/>
  <c r="N115" i="9" s="1"/>
  <c r="AD114" i="9"/>
  <c r="X114" i="9"/>
  <c r="O114" i="9"/>
  <c r="K114" i="9"/>
  <c r="I114" i="9"/>
  <c r="L114" i="9" s="1"/>
  <c r="M114" i="9" s="1"/>
  <c r="N114" i="9" s="1"/>
  <c r="AD113" i="9"/>
  <c r="X113" i="9"/>
  <c r="O113" i="9"/>
  <c r="K113" i="9"/>
  <c r="I113" i="9"/>
  <c r="AD112" i="9"/>
  <c r="X112" i="9"/>
  <c r="O112" i="9"/>
  <c r="M112" i="9"/>
  <c r="N112" i="9" s="1"/>
  <c r="K112" i="9"/>
  <c r="I112" i="9"/>
  <c r="L112" i="9" s="1"/>
  <c r="AD111" i="9"/>
  <c r="X111" i="9"/>
  <c r="T111" i="9"/>
  <c r="U111" i="9" s="1"/>
  <c r="O111" i="9"/>
  <c r="K111" i="9"/>
  <c r="I111" i="9"/>
  <c r="L111" i="9" s="1"/>
  <c r="M111" i="9" s="1"/>
  <c r="N111" i="9" s="1"/>
  <c r="AD110" i="9"/>
  <c r="X110" i="9"/>
  <c r="O110" i="9"/>
  <c r="K110" i="9"/>
  <c r="L110" i="9" s="1"/>
  <c r="M110" i="9" s="1"/>
  <c r="N110" i="9" s="1"/>
  <c r="I110" i="9"/>
  <c r="AD109" i="9"/>
  <c r="X109" i="9"/>
  <c r="T109" i="9"/>
  <c r="U109" i="9" s="1"/>
  <c r="O109" i="9"/>
  <c r="N109" i="9"/>
  <c r="M109" i="9"/>
  <c r="K109" i="9"/>
  <c r="I109" i="9"/>
  <c r="L109" i="9" s="1"/>
  <c r="X108" i="9"/>
  <c r="U108" i="9"/>
  <c r="T108" i="9"/>
  <c r="O108" i="9"/>
  <c r="K108" i="9"/>
  <c r="I108" i="9"/>
  <c r="L108" i="9" s="1"/>
  <c r="M108" i="9" s="1"/>
  <c r="N108" i="9" s="1"/>
  <c r="R108" i="9" s="1"/>
  <c r="S108" i="9" s="1"/>
  <c r="X107" i="9"/>
  <c r="U107" i="9"/>
  <c r="O107" i="9"/>
  <c r="T107" i="9" s="1"/>
  <c r="L107" i="9"/>
  <c r="M107" i="9" s="1"/>
  <c r="N107" i="9" s="1"/>
  <c r="K107" i="9"/>
  <c r="I107" i="9"/>
  <c r="X106" i="9"/>
  <c r="O106" i="9"/>
  <c r="T106" i="9" s="1"/>
  <c r="U106" i="9" s="1"/>
  <c r="K106" i="9"/>
  <c r="L106" i="9" s="1"/>
  <c r="M106" i="9" s="1"/>
  <c r="N106" i="9" s="1"/>
  <c r="R106" i="9" s="1"/>
  <c r="S106" i="9" s="1"/>
  <c r="I106" i="9"/>
  <c r="X105" i="9"/>
  <c r="T105" i="9"/>
  <c r="U105" i="9" s="1"/>
  <c r="O105" i="9"/>
  <c r="M105" i="9"/>
  <c r="N105" i="9" s="1"/>
  <c r="K105" i="9"/>
  <c r="I105" i="9"/>
  <c r="L105" i="9" s="1"/>
  <c r="X104" i="9"/>
  <c r="O104" i="9"/>
  <c r="L104" i="9"/>
  <c r="M104" i="9" s="1"/>
  <c r="K104" i="9"/>
  <c r="I104" i="9"/>
  <c r="X103" i="9"/>
  <c r="O103" i="9"/>
  <c r="K103" i="9"/>
  <c r="L103" i="9" s="1"/>
  <c r="M103" i="9" s="1"/>
  <c r="I103" i="9"/>
  <c r="X102" i="9"/>
  <c r="O102" i="9"/>
  <c r="T102" i="9" s="1"/>
  <c r="U102" i="9" s="1"/>
  <c r="K102" i="9"/>
  <c r="L102" i="9" s="1"/>
  <c r="M102" i="9" s="1"/>
  <c r="N102" i="9" s="1"/>
  <c r="R102" i="9" s="1"/>
  <c r="S102" i="9" s="1"/>
  <c r="I102" i="9"/>
  <c r="X101" i="9"/>
  <c r="O101" i="9"/>
  <c r="T101" i="9" s="1"/>
  <c r="U101" i="9" s="1"/>
  <c r="K101" i="9"/>
  <c r="I101" i="9"/>
  <c r="L101" i="9" s="1"/>
  <c r="M101" i="9" s="1"/>
  <c r="X100" i="9"/>
  <c r="T100" i="9"/>
  <c r="U100" i="9" s="1"/>
  <c r="R100" i="9"/>
  <c r="S100" i="9" s="1"/>
  <c r="O100" i="9"/>
  <c r="K100" i="9"/>
  <c r="L100" i="9" s="1"/>
  <c r="M100" i="9" s="1"/>
  <c r="N100" i="9" s="1"/>
  <c r="I100" i="9"/>
  <c r="X99" i="9"/>
  <c r="O99" i="9"/>
  <c r="K99" i="9"/>
  <c r="L99" i="9" s="1"/>
  <c r="M99" i="9" s="1"/>
  <c r="N99" i="9" s="1"/>
  <c r="I99" i="9"/>
  <c r="X98" i="9"/>
  <c r="T98" i="9"/>
  <c r="U98" i="9" s="1"/>
  <c r="O98" i="9"/>
  <c r="L98" i="9"/>
  <c r="M98" i="9" s="1"/>
  <c r="N98" i="9" s="1"/>
  <c r="R98" i="9" s="1"/>
  <c r="S98" i="9" s="1"/>
  <c r="K98" i="9"/>
  <c r="I98" i="9"/>
  <c r="X97" i="9"/>
  <c r="T97" i="9"/>
  <c r="U97" i="9" s="1"/>
  <c r="O97" i="9"/>
  <c r="K97" i="9"/>
  <c r="I97" i="9"/>
  <c r="L97" i="9" s="1"/>
  <c r="M97" i="9" s="1"/>
  <c r="N97" i="9" s="1"/>
  <c r="X96" i="9"/>
  <c r="T96" i="9"/>
  <c r="U96" i="9" s="1"/>
  <c r="O96" i="9"/>
  <c r="K96" i="9"/>
  <c r="I96" i="9"/>
  <c r="L96" i="9" s="1"/>
  <c r="M96" i="9" s="1"/>
  <c r="N96" i="9" s="1"/>
  <c r="R96" i="9" s="1"/>
  <c r="S96" i="9" s="1"/>
  <c r="X95" i="9"/>
  <c r="O95" i="9"/>
  <c r="K95" i="9"/>
  <c r="I95" i="9"/>
  <c r="L95" i="9" s="1"/>
  <c r="M95" i="9" s="1"/>
  <c r="X94" i="9"/>
  <c r="T94" i="9"/>
  <c r="U94" i="9" s="1"/>
  <c r="O94" i="9"/>
  <c r="N94" i="9"/>
  <c r="L94" i="9"/>
  <c r="M94" i="9" s="1"/>
  <c r="K94" i="9"/>
  <c r="I94" i="9"/>
  <c r="X93" i="9"/>
  <c r="O93" i="9"/>
  <c r="K93" i="9"/>
  <c r="I93" i="9"/>
  <c r="L93" i="9" s="1"/>
  <c r="M93" i="9" s="1"/>
  <c r="X92" i="9"/>
  <c r="T92" i="9"/>
  <c r="U92" i="9" s="1"/>
  <c r="O92" i="9"/>
  <c r="K92" i="9"/>
  <c r="L92" i="9" s="1"/>
  <c r="M92" i="9" s="1"/>
  <c r="N92" i="9" s="1"/>
  <c r="R92" i="9" s="1"/>
  <c r="S92" i="9" s="1"/>
  <c r="I92" i="9"/>
  <c r="X91" i="9"/>
  <c r="O91" i="9"/>
  <c r="T91" i="9" s="1"/>
  <c r="U91" i="9" s="1"/>
  <c r="K91" i="9"/>
  <c r="L91" i="9" s="1"/>
  <c r="M91" i="9" s="1"/>
  <c r="N91" i="9" s="1"/>
  <c r="R91" i="9" s="1"/>
  <c r="S91" i="9" s="1"/>
  <c r="I91" i="9"/>
  <c r="X90" i="9"/>
  <c r="O90" i="9"/>
  <c r="T90" i="9" s="1"/>
  <c r="U90" i="9" s="1"/>
  <c r="N90" i="9"/>
  <c r="K90" i="9"/>
  <c r="I90" i="9"/>
  <c r="L90" i="9" s="1"/>
  <c r="M90" i="9" s="1"/>
  <c r="X89" i="9"/>
  <c r="O89" i="9"/>
  <c r="L89" i="9"/>
  <c r="M89" i="9" s="1"/>
  <c r="K89" i="9"/>
  <c r="I89" i="9"/>
  <c r="X88" i="9"/>
  <c r="T88" i="9"/>
  <c r="U88" i="9" s="1"/>
  <c r="O88" i="9"/>
  <c r="K88" i="9"/>
  <c r="I88" i="9"/>
  <c r="L88" i="9" s="1"/>
  <c r="M88" i="9" s="1"/>
  <c r="N88" i="9" s="1"/>
  <c r="X87" i="9"/>
  <c r="O87" i="9"/>
  <c r="K87" i="9"/>
  <c r="L87" i="9" s="1"/>
  <c r="M87" i="9" s="1"/>
  <c r="I87" i="9"/>
  <c r="AJ86" i="9"/>
  <c r="AD86" i="9"/>
  <c r="AA86" i="9"/>
  <c r="X86" i="9"/>
  <c r="U86" i="9"/>
  <c r="T86" i="9"/>
  <c r="S86" i="9"/>
  <c r="R86" i="9"/>
  <c r="O86" i="9"/>
  <c r="K86" i="9"/>
  <c r="I86" i="9"/>
  <c r="L86" i="9" s="1"/>
  <c r="M86" i="9" s="1"/>
  <c r="N86" i="9" s="1"/>
  <c r="AD85" i="9"/>
  <c r="AA85" i="9"/>
  <c r="X85" i="9"/>
  <c r="R85" i="9"/>
  <c r="S85" i="9" s="1"/>
  <c r="O85" i="9"/>
  <c r="T85" i="9" s="1"/>
  <c r="U85" i="9" s="1"/>
  <c r="K85" i="9"/>
  <c r="I85" i="9"/>
  <c r="L85" i="9" s="1"/>
  <c r="M85" i="9" s="1"/>
  <c r="N85" i="9" s="1"/>
  <c r="AJ84" i="9"/>
  <c r="AI84" i="9"/>
  <c r="AD84" i="9"/>
  <c r="AA84" i="9" s="1"/>
  <c r="X84" i="9"/>
  <c r="S84" i="9"/>
  <c r="R84" i="9"/>
  <c r="O84" i="9"/>
  <c r="T84" i="9" s="1"/>
  <c r="U84" i="9" s="1"/>
  <c r="L84" i="9"/>
  <c r="M84" i="9" s="1"/>
  <c r="N84" i="9" s="1"/>
  <c r="K84" i="9"/>
  <c r="I84" i="9"/>
  <c r="AJ83" i="9"/>
  <c r="AD83" i="9"/>
  <c r="AA83" i="9"/>
  <c r="X83" i="9"/>
  <c r="T83" i="9"/>
  <c r="U83" i="9" s="1"/>
  <c r="S83" i="9"/>
  <c r="R83" i="9"/>
  <c r="O83" i="9"/>
  <c r="K83" i="9"/>
  <c r="I83" i="9"/>
  <c r="L83" i="9" s="1"/>
  <c r="M83" i="9" s="1"/>
  <c r="AJ82" i="9"/>
  <c r="AD82" i="9"/>
  <c r="X82" i="9"/>
  <c r="S82" i="9"/>
  <c r="R82" i="9"/>
  <c r="O82" i="9"/>
  <c r="T82" i="9" s="1"/>
  <c r="U82" i="9" s="1"/>
  <c r="L82" i="9"/>
  <c r="M82" i="9" s="1"/>
  <c r="N82" i="9" s="1"/>
  <c r="K82" i="9"/>
  <c r="I82" i="9"/>
  <c r="AO81" i="9"/>
  <c r="AJ81" i="9"/>
  <c r="AI81" i="9"/>
  <c r="AD81" i="9"/>
  <c r="AA81" i="9"/>
  <c r="X81" i="9"/>
  <c r="R81" i="9"/>
  <c r="S81" i="9" s="1"/>
  <c r="O81" i="9"/>
  <c r="L81" i="9"/>
  <c r="M81" i="9" s="1"/>
  <c r="K81" i="9"/>
  <c r="I81" i="9"/>
  <c r="AJ80" i="9"/>
  <c r="AI80" i="9"/>
  <c r="AD80" i="9"/>
  <c r="AA80" i="9" s="1"/>
  <c r="X80" i="9"/>
  <c r="U80" i="9"/>
  <c r="S80" i="9"/>
  <c r="R80" i="9"/>
  <c r="O80" i="9"/>
  <c r="T80" i="9" s="1"/>
  <c r="K80" i="9"/>
  <c r="L80" i="9" s="1"/>
  <c r="M80" i="9" s="1"/>
  <c r="N80" i="9" s="1"/>
  <c r="I80" i="9"/>
  <c r="AD79" i="9"/>
  <c r="AA79" i="9" s="1"/>
  <c r="X79" i="9"/>
  <c r="T79" i="9"/>
  <c r="U79" i="9" s="1"/>
  <c r="S79" i="9"/>
  <c r="R79" i="9"/>
  <c r="O79" i="9"/>
  <c r="L79" i="9"/>
  <c r="M79" i="9" s="1"/>
  <c r="N79" i="9" s="1"/>
  <c r="K79" i="9"/>
  <c r="I79" i="9"/>
  <c r="AD78" i="9"/>
  <c r="AA78" i="9"/>
  <c r="X78" i="9"/>
  <c r="R78" i="9"/>
  <c r="S78" i="9" s="1"/>
  <c r="O78" i="9"/>
  <c r="K78" i="9"/>
  <c r="I78" i="9"/>
  <c r="AJ77" i="9"/>
  <c r="AD77" i="9"/>
  <c r="AA77" i="9"/>
  <c r="X77" i="9"/>
  <c r="R77" i="9"/>
  <c r="S77" i="9" s="1"/>
  <c r="O77" i="9"/>
  <c r="K77" i="9"/>
  <c r="L77" i="9" s="1"/>
  <c r="M77" i="9" s="1"/>
  <c r="I77" i="9"/>
  <c r="AD76" i="9"/>
  <c r="AA76" i="9"/>
  <c r="X76" i="9"/>
  <c r="T76" i="9"/>
  <c r="U76" i="9" s="1"/>
  <c r="R76" i="9"/>
  <c r="S76" i="9" s="1"/>
  <c r="O76" i="9"/>
  <c r="L76" i="9"/>
  <c r="M76" i="9" s="1"/>
  <c r="N76" i="9" s="1"/>
  <c r="K76" i="9"/>
  <c r="I76" i="9"/>
  <c r="AD75" i="9"/>
  <c r="AA75" i="9"/>
  <c r="X75" i="9"/>
  <c r="S75" i="9"/>
  <c r="R75" i="9"/>
  <c r="O75" i="9"/>
  <c r="T75" i="9" s="1"/>
  <c r="U75" i="9" s="1"/>
  <c r="K75" i="9"/>
  <c r="I75" i="9"/>
  <c r="L75" i="9" s="1"/>
  <c r="M75" i="9" s="1"/>
  <c r="N75" i="9" s="1"/>
  <c r="AD74" i="9"/>
  <c r="AA74" i="9"/>
  <c r="X74" i="9"/>
  <c r="T74" i="9"/>
  <c r="U74" i="9" s="1"/>
  <c r="R74" i="9"/>
  <c r="S74" i="9" s="1"/>
  <c r="O74" i="9"/>
  <c r="L74" i="9"/>
  <c r="M74" i="9" s="1"/>
  <c r="N74" i="9" s="1"/>
  <c r="K74" i="9"/>
  <c r="I74" i="9"/>
  <c r="AD73" i="9"/>
  <c r="AA73" i="9"/>
  <c r="X73" i="9"/>
  <c r="S73" i="9"/>
  <c r="R73" i="9"/>
  <c r="O73" i="9"/>
  <c r="K73" i="9"/>
  <c r="I73" i="9"/>
  <c r="L73" i="9" s="1"/>
  <c r="M73" i="9" s="1"/>
  <c r="AD72" i="9"/>
  <c r="AA72" i="9"/>
  <c r="X72" i="9"/>
  <c r="R72" i="9"/>
  <c r="S72" i="9" s="1"/>
  <c r="O72" i="9"/>
  <c r="T72" i="9" s="1"/>
  <c r="U72" i="9" s="1"/>
  <c r="L72" i="9"/>
  <c r="M72" i="9" s="1"/>
  <c r="N72" i="9" s="1"/>
  <c r="K72" i="9"/>
  <c r="I72" i="9"/>
  <c r="AD71" i="9"/>
  <c r="AI71" i="9" s="1"/>
  <c r="AA71" i="9"/>
  <c r="X71" i="9"/>
  <c r="T71" i="9"/>
  <c r="U71" i="9" s="1"/>
  <c r="R71" i="9"/>
  <c r="S71" i="9" s="1"/>
  <c r="O71" i="9"/>
  <c r="K71" i="9"/>
  <c r="L71" i="9" s="1"/>
  <c r="M71" i="9" s="1"/>
  <c r="N71" i="9" s="1"/>
  <c r="I71" i="9"/>
  <c r="AD70" i="9"/>
  <c r="X70" i="9"/>
  <c r="T70" i="9"/>
  <c r="U70" i="9" s="1"/>
  <c r="R70" i="9"/>
  <c r="S70" i="9" s="1"/>
  <c r="O70" i="9"/>
  <c r="K70" i="9"/>
  <c r="L70" i="9" s="1"/>
  <c r="M70" i="9" s="1"/>
  <c r="N70" i="9" s="1"/>
  <c r="I70" i="9"/>
  <c r="AJ69" i="9"/>
  <c r="AD69" i="9"/>
  <c r="AA69" i="9" s="1"/>
  <c r="X69" i="9"/>
  <c r="R69" i="9"/>
  <c r="S69" i="9" s="1"/>
  <c r="O69" i="9"/>
  <c r="K69" i="9"/>
  <c r="I69" i="9"/>
  <c r="L69" i="9" s="1"/>
  <c r="M69" i="9" s="1"/>
  <c r="AJ68" i="9"/>
  <c r="AD68" i="9"/>
  <c r="AA68" i="9"/>
  <c r="X68" i="9"/>
  <c r="R68" i="9"/>
  <c r="S68" i="9" s="1"/>
  <c r="O68" i="9"/>
  <c r="M68" i="9"/>
  <c r="K68" i="9"/>
  <c r="I68" i="9"/>
  <c r="L68" i="9" s="1"/>
  <c r="AD67" i="9"/>
  <c r="AA67" i="9"/>
  <c r="X67" i="9"/>
  <c r="T67" i="9"/>
  <c r="U67" i="9" s="1"/>
  <c r="S67" i="9"/>
  <c r="R67" i="9"/>
  <c r="O67" i="9"/>
  <c r="K67" i="9"/>
  <c r="I67" i="9"/>
  <c r="L67" i="9" s="1"/>
  <c r="M67" i="9" s="1"/>
  <c r="N67" i="9" s="1"/>
  <c r="AJ66" i="9"/>
  <c r="AD66" i="9"/>
  <c r="AA66" i="9"/>
  <c r="X66" i="9"/>
  <c r="R66" i="9"/>
  <c r="S66" i="9" s="1"/>
  <c r="O66" i="9"/>
  <c r="K66" i="9"/>
  <c r="I66" i="9"/>
  <c r="L66" i="9" s="1"/>
  <c r="M66" i="9" s="1"/>
  <c r="AJ65" i="9"/>
  <c r="AD65" i="9"/>
  <c r="AA65" i="9"/>
  <c r="X65" i="9"/>
  <c r="R65" i="9"/>
  <c r="S65" i="9" s="1"/>
  <c r="O65" i="9"/>
  <c r="K65" i="9"/>
  <c r="I65" i="9"/>
  <c r="L65" i="9" s="1"/>
  <c r="M65" i="9" s="1"/>
  <c r="AJ64" i="9"/>
  <c r="AD64" i="9"/>
  <c r="AA64" i="9"/>
  <c r="X64" i="9"/>
  <c r="R64" i="9"/>
  <c r="S64" i="9" s="1"/>
  <c r="O64" i="9"/>
  <c r="T64" i="9" s="1"/>
  <c r="U64" i="9" s="1"/>
  <c r="M64" i="9"/>
  <c r="N64" i="9" s="1"/>
  <c r="K64" i="9"/>
  <c r="L64" i="9" s="1"/>
  <c r="I64" i="9"/>
  <c r="AJ63" i="9"/>
  <c r="AD63" i="9"/>
  <c r="AA63" i="9"/>
  <c r="X63" i="9"/>
  <c r="U63" i="9"/>
  <c r="S63" i="9"/>
  <c r="R63" i="9"/>
  <c r="O63" i="9"/>
  <c r="T63" i="9" s="1"/>
  <c r="K63" i="9"/>
  <c r="L63" i="9" s="1"/>
  <c r="M63" i="9" s="1"/>
  <c r="N63" i="9" s="1"/>
  <c r="I63" i="9"/>
  <c r="AJ62" i="9"/>
  <c r="AD62" i="9"/>
  <c r="AA62" i="9"/>
  <c r="X62" i="9"/>
  <c r="T62" i="9"/>
  <c r="U62" i="9" s="1"/>
  <c r="S62" i="9"/>
  <c r="R62" i="9"/>
  <c r="O62" i="9"/>
  <c r="K62" i="9"/>
  <c r="I62" i="9"/>
  <c r="L62" i="9" s="1"/>
  <c r="M62" i="9" s="1"/>
  <c r="AJ61" i="9"/>
  <c r="AD61" i="9"/>
  <c r="AA61" i="9"/>
  <c r="X61" i="9"/>
  <c r="S61" i="9"/>
  <c r="R61" i="9"/>
  <c r="O61" i="9"/>
  <c r="T61" i="9" s="1"/>
  <c r="U61" i="9" s="1"/>
  <c r="K61" i="9"/>
  <c r="I61" i="9"/>
  <c r="AJ60" i="9"/>
  <c r="AD60" i="9"/>
  <c r="AA60" i="9" s="1"/>
  <c r="X60" i="9"/>
  <c r="U60" i="9"/>
  <c r="R60" i="9"/>
  <c r="S60" i="9" s="1"/>
  <c r="O60" i="9"/>
  <c r="T60" i="9" s="1"/>
  <c r="K60" i="9"/>
  <c r="L60" i="9" s="1"/>
  <c r="M60" i="9" s="1"/>
  <c r="N60" i="9" s="1"/>
  <c r="I60" i="9"/>
  <c r="AJ59" i="9"/>
  <c r="AD59" i="9"/>
  <c r="AA59" i="9" s="1"/>
  <c r="X59" i="9"/>
  <c r="S59" i="9"/>
  <c r="R59" i="9"/>
  <c r="O59" i="9"/>
  <c r="T59" i="9" s="1"/>
  <c r="U59" i="9" s="1"/>
  <c r="N59" i="9"/>
  <c r="L59" i="9"/>
  <c r="M59" i="9" s="1"/>
  <c r="K59" i="9"/>
  <c r="I59" i="9"/>
  <c r="AD58" i="9"/>
  <c r="AA58" i="9" s="1"/>
  <c r="X58" i="9"/>
  <c r="T58" i="9"/>
  <c r="U58" i="9" s="1"/>
  <c r="R58" i="9"/>
  <c r="S58" i="9" s="1"/>
  <c r="O58" i="9"/>
  <c r="K58" i="9"/>
  <c r="L58" i="9" s="1"/>
  <c r="M58" i="9" s="1"/>
  <c r="I58" i="9"/>
  <c r="AD57" i="9"/>
  <c r="AA57" i="9" s="1"/>
  <c r="X57" i="9"/>
  <c r="U57" i="9"/>
  <c r="S57" i="9"/>
  <c r="R57" i="9"/>
  <c r="O57" i="9"/>
  <c r="T57" i="9" s="1"/>
  <c r="K57" i="9"/>
  <c r="L57" i="9" s="1"/>
  <c r="M57" i="9" s="1"/>
  <c r="N57" i="9" s="1"/>
  <c r="I57" i="9"/>
  <c r="AJ56" i="9"/>
  <c r="AD56" i="9"/>
  <c r="X56" i="9"/>
  <c r="T56" i="9"/>
  <c r="U56" i="9" s="1"/>
  <c r="R56" i="9"/>
  <c r="S56" i="9" s="1"/>
  <c r="O56" i="9"/>
  <c r="L56" i="9"/>
  <c r="M56" i="9" s="1"/>
  <c r="N56" i="9" s="1"/>
  <c r="K56" i="9"/>
  <c r="I56" i="9"/>
  <c r="AD55" i="9"/>
  <c r="AA55" i="9"/>
  <c r="X55" i="9"/>
  <c r="T55" i="9"/>
  <c r="U55" i="9" s="1"/>
  <c r="S55" i="9"/>
  <c r="R55" i="9"/>
  <c r="O55" i="9"/>
  <c r="M55" i="9"/>
  <c r="K55" i="9"/>
  <c r="I55" i="9"/>
  <c r="L55" i="9" s="1"/>
  <c r="AJ54" i="9"/>
  <c r="AD54" i="9"/>
  <c r="AA54" i="9"/>
  <c r="X54" i="9"/>
  <c r="R54" i="9"/>
  <c r="S54" i="9" s="1"/>
  <c r="Q54" i="9"/>
  <c r="O54" i="9"/>
  <c r="T54" i="9" s="1"/>
  <c r="U54" i="9" s="1"/>
  <c r="L54" i="9"/>
  <c r="M54" i="9" s="1"/>
  <c r="N54" i="9" s="1"/>
  <c r="K54" i="9"/>
  <c r="I54" i="9"/>
  <c r="AD53" i="9"/>
  <c r="AA53" i="9" s="1"/>
  <c r="X53" i="9"/>
  <c r="T53" i="9"/>
  <c r="U53" i="9" s="1"/>
  <c r="S53" i="9"/>
  <c r="R53" i="9"/>
  <c r="O53" i="9"/>
  <c r="K53" i="9"/>
  <c r="L53" i="9" s="1"/>
  <c r="M53" i="9" s="1"/>
  <c r="N53" i="9" s="1"/>
  <c r="I53" i="9"/>
  <c r="R94" i="9" l="1"/>
  <c r="S94" i="9" s="1"/>
  <c r="N68" i="9"/>
  <c r="T68" i="9"/>
  <c r="U68" i="9" s="1"/>
  <c r="N93" i="9"/>
  <c r="T93" i="9"/>
  <c r="U93" i="9" s="1"/>
  <c r="R93" i="9"/>
  <c r="S93" i="9" s="1"/>
  <c r="R89" i="9"/>
  <c r="S89" i="9" s="1"/>
  <c r="N89" i="9"/>
  <c r="R90" i="9"/>
  <c r="S90" i="9" s="1"/>
  <c r="T99" i="9"/>
  <c r="U99" i="9" s="1"/>
  <c r="R99" i="9"/>
  <c r="S99" i="9" s="1"/>
  <c r="R145" i="9"/>
  <c r="S145" i="9" s="1"/>
  <c r="T69" i="9"/>
  <c r="U69" i="9" s="1"/>
  <c r="N69" i="9"/>
  <c r="N87" i="9"/>
  <c r="T87" i="9"/>
  <c r="U87" i="9" s="1"/>
  <c r="R88" i="9"/>
  <c r="S88" i="9" s="1"/>
  <c r="R113" i="9"/>
  <c r="S113" i="9" s="1"/>
  <c r="R129" i="9"/>
  <c r="S129" i="9" s="1"/>
  <c r="R137" i="9"/>
  <c r="S137" i="9" s="1"/>
  <c r="N66" i="9"/>
  <c r="R87" i="9"/>
  <c r="S87" i="9" s="1"/>
  <c r="T89" i="9"/>
  <c r="U89" i="9" s="1"/>
  <c r="R111" i="9"/>
  <c r="S111" i="9" s="1"/>
  <c r="T113" i="9"/>
  <c r="U113" i="9" s="1"/>
  <c r="R119" i="9"/>
  <c r="S119" i="9" s="1"/>
  <c r="T121" i="9"/>
  <c r="U121" i="9" s="1"/>
  <c r="R127" i="9"/>
  <c r="S127" i="9" s="1"/>
  <c r="T129" i="9"/>
  <c r="U129" i="9" s="1"/>
  <c r="R135" i="9"/>
  <c r="S135" i="9" s="1"/>
  <c r="T137" i="9"/>
  <c r="U137" i="9" s="1"/>
  <c r="R143" i="9"/>
  <c r="S143" i="9" s="1"/>
  <c r="T145" i="9"/>
  <c r="U145" i="9" s="1"/>
  <c r="N104" i="9"/>
  <c r="R104" i="9"/>
  <c r="S104" i="9" s="1"/>
  <c r="R112" i="9"/>
  <c r="S112" i="9" s="1"/>
  <c r="T112" i="9"/>
  <c r="U112" i="9" s="1"/>
  <c r="R120" i="9"/>
  <c r="S120" i="9" s="1"/>
  <c r="T120" i="9"/>
  <c r="U120" i="9" s="1"/>
  <c r="R128" i="9"/>
  <c r="S128" i="9" s="1"/>
  <c r="T128" i="9"/>
  <c r="U128" i="9" s="1"/>
  <c r="R136" i="9"/>
  <c r="S136" i="9" s="1"/>
  <c r="T136" i="9"/>
  <c r="U136" i="9" s="1"/>
  <c r="R144" i="9"/>
  <c r="S144" i="9" s="1"/>
  <c r="T144" i="9"/>
  <c r="U144" i="9" s="1"/>
  <c r="N58" i="9"/>
  <c r="T66" i="9"/>
  <c r="U66" i="9" s="1"/>
  <c r="T78" i="9"/>
  <c r="U78" i="9" s="1"/>
  <c r="T81" i="9"/>
  <c r="U81" i="9" s="1"/>
  <c r="N81" i="9"/>
  <c r="N101" i="9"/>
  <c r="R101" i="9" s="1"/>
  <c r="S101" i="9" s="1"/>
  <c r="T104" i="9"/>
  <c r="U104" i="9" s="1"/>
  <c r="R109" i="9"/>
  <c r="S109" i="9" s="1"/>
  <c r="N103" i="9"/>
  <c r="R103" i="9"/>
  <c r="S103" i="9" s="1"/>
  <c r="R105" i="9"/>
  <c r="S105" i="9" s="1"/>
  <c r="N65" i="9"/>
  <c r="N73" i="9"/>
  <c r="T77" i="9"/>
  <c r="U77" i="9" s="1"/>
  <c r="N77" i="9"/>
  <c r="L78" i="9"/>
  <c r="M78" i="9" s="1"/>
  <c r="N78" i="9" s="1"/>
  <c r="T103" i="9"/>
  <c r="U103" i="9" s="1"/>
  <c r="R115" i="9"/>
  <c r="S115" i="9" s="1"/>
  <c r="R123" i="9"/>
  <c r="S123" i="9" s="1"/>
  <c r="R131" i="9"/>
  <c r="S131" i="9" s="1"/>
  <c r="R139" i="9"/>
  <c r="S139" i="9" s="1"/>
  <c r="N55" i="9"/>
  <c r="N62" i="9"/>
  <c r="AI70" i="9"/>
  <c r="AA70" i="9"/>
  <c r="N83" i="9"/>
  <c r="N95" i="9"/>
  <c r="T95" i="9"/>
  <c r="U95" i="9" s="1"/>
  <c r="R97" i="9"/>
  <c r="S97" i="9" s="1"/>
  <c r="R116" i="9"/>
  <c r="S116" i="9" s="1"/>
  <c r="R124" i="9"/>
  <c r="S124" i="9" s="1"/>
  <c r="R132" i="9"/>
  <c r="S132" i="9" s="1"/>
  <c r="R140" i="9"/>
  <c r="S140" i="9" s="1"/>
  <c r="T65" i="9"/>
  <c r="U65" i="9" s="1"/>
  <c r="T73" i="9"/>
  <c r="U73" i="9" s="1"/>
  <c r="R95" i="9"/>
  <c r="S95" i="9" s="1"/>
  <c r="T116" i="9"/>
  <c r="U116" i="9" s="1"/>
  <c r="T124" i="9"/>
  <c r="U124" i="9" s="1"/>
  <c r="T132" i="9"/>
  <c r="U132" i="9" s="1"/>
  <c r="T140" i="9"/>
  <c r="U140" i="9" s="1"/>
  <c r="R110" i="9"/>
  <c r="S110" i="9" s="1"/>
  <c r="R114" i="9"/>
  <c r="S114" i="9" s="1"/>
  <c r="R118" i="9"/>
  <c r="S118" i="9" s="1"/>
  <c r="R122" i="9"/>
  <c r="S122" i="9" s="1"/>
  <c r="R126" i="9"/>
  <c r="S126" i="9" s="1"/>
  <c r="R130" i="9"/>
  <c r="S130" i="9" s="1"/>
  <c r="R134" i="9"/>
  <c r="S134" i="9" s="1"/>
  <c r="R138" i="9"/>
  <c r="S138" i="9" s="1"/>
  <c r="R142" i="9"/>
  <c r="S142" i="9" s="1"/>
  <c r="L61" i="9"/>
  <c r="M61" i="9" s="1"/>
  <c r="N61" i="9" s="1"/>
  <c r="R107" i="9"/>
  <c r="S107" i="9" s="1"/>
  <c r="T110" i="9"/>
  <c r="U110" i="9" s="1"/>
  <c r="L113" i="9"/>
  <c r="M113" i="9" s="1"/>
  <c r="N113" i="9" s="1"/>
  <c r="T114" i="9"/>
  <c r="U114" i="9" s="1"/>
  <c r="L117" i="9"/>
  <c r="M117" i="9" s="1"/>
  <c r="N117" i="9" s="1"/>
  <c r="R117" i="9" s="1"/>
  <c r="S117" i="9" s="1"/>
  <c r="T118" i="9"/>
  <c r="U118" i="9" s="1"/>
  <c r="L121" i="9"/>
  <c r="M121" i="9" s="1"/>
  <c r="N121" i="9" s="1"/>
  <c r="R121" i="9" s="1"/>
  <c r="S121" i="9" s="1"/>
  <c r="T122" i="9"/>
  <c r="U122" i="9" s="1"/>
  <c r="L125" i="9"/>
  <c r="M125" i="9" s="1"/>
  <c r="N125" i="9" s="1"/>
  <c r="R125" i="9" s="1"/>
  <c r="S125" i="9" s="1"/>
  <c r="T126" i="9"/>
  <c r="U126" i="9" s="1"/>
  <c r="L129" i="9"/>
  <c r="M129" i="9" s="1"/>
  <c r="N129" i="9" s="1"/>
  <c r="T130" i="9"/>
  <c r="U130" i="9" s="1"/>
  <c r="L133" i="9"/>
  <c r="M133" i="9" s="1"/>
  <c r="N133" i="9" s="1"/>
  <c r="R133" i="9" s="1"/>
  <c r="S133" i="9" s="1"/>
  <c r="T134" i="9"/>
  <c r="U134" i="9" s="1"/>
  <c r="L137" i="9"/>
  <c r="M137" i="9" s="1"/>
  <c r="N137" i="9" s="1"/>
  <c r="T138" i="9"/>
  <c r="U138" i="9" s="1"/>
  <c r="L141" i="9"/>
  <c r="M141" i="9" s="1"/>
  <c r="N141" i="9" s="1"/>
  <c r="R141" i="9" s="1"/>
  <c r="S141" i="9" s="1"/>
  <c r="T142" i="9"/>
  <c r="U142" i="9" s="1"/>
  <c r="L145" i="9"/>
  <c r="M145" i="9" s="1"/>
  <c r="N145" i="9" s="1"/>
  <c r="AD32" i="9" l="1"/>
  <c r="AA52" i="9" l="1"/>
  <c r="AA51" i="9"/>
  <c r="AA50" i="9"/>
  <c r="AA49" i="9"/>
  <c r="AA48" i="9"/>
  <c r="AA47" i="9"/>
  <c r="AA46" i="9"/>
  <c r="AA45" i="9"/>
  <c r="AA44" i="9"/>
  <c r="AA43" i="9"/>
  <c r="AA42" i="9"/>
  <c r="AA41" i="9"/>
  <c r="AA40" i="9"/>
  <c r="AA39" i="9"/>
  <c r="AA38" i="9"/>
  <c r="AA37" i="9"/>
  <c r="AA36" i="9"/>
  <c r="AA35" i="9"/>
  <c r="AA34" i="9"/>
  <c r="AA33" i="9"/>
  <c r="AA32" i="9"/>
  <c r="AA31" i="9"/>
  <c r="AA30" i="9"/>
  <c r="AA29" i="9"/>
  <c r="AA28" i="9"/>
  <c r="AA27" i="9"/>
  <c r="AA26" i="9"/>
  <c r="AA25" i="9"/>
  <c r="AA24" i="9"/>
  <c r="AA23" i="9"/>
  <c r="AA22" i="9"/>
  <c r="AA21" i="9"/>
  <c r="AA20" i="9"/>
  <c r="AA19" i="9"/>
  <c r="AA18" i="9"/>
  <c r="AA17" i="9"/>
  <c r="AA16" i="9"/>
  <c r="AA15" i="9"/>
  <c r="AA14" i="9"/>
  <c r="AA13" i="9"/>
  <c r="AA12" i="9"/>
  <c r="AA11" i="9"/>
  <c r="AA10" i="9"/>
  <c r="AA9" i="9"/>
  <c r="AA6" i="9"/>
  <c r="AA7" i="9"/>
  <c r="AA8" i="9"/>
  <c r="AA5" i="9"/>
  <c r="AA4" i="9"/>
  <c r="AA3" i="9"/>
  <c r="AD35" i="9"/>
  <c r="AD36" i="9"/>
  <c r="AD37" i="9"/>
  <c r="AD38" i="9"/>
  <c r="AD39" i="9"/>
  <c r="AD40" i="9"/>
  <c r="AD41" i="9"/>
  <c r="AD42" i="9"/>
  <c r="AD43" i="9"/>
  <c r="AD44" i="9"/>
  <c r="AD45" i="9"/>
  <c r="AD46" i="9"/>
  <c r="AD47" i="9"/>
  <c r="AD48" i="9"/>
  <c r="AD49" i="9"/>
  <c r="AD50" i="9"/>
  <c r="AD51" i="9"/>
  <c r="AD52" i="9"/>
  <c r="AD13" i="9"/>
  <c r="AD14" i="9"/>
  <c r="AD15" i="9"/>
  <c r="AD16" i="9"/>
  <c r="AD17" i="9"/>
  <c r="AD18" i="9"/>
  <c r="AD19" i="9"/>
  <c r="AD20" i="9"/>
  <c r="AD21" i="9"/>
  <c r="AD22" i="9"/>
  <c r="AD23" i="9"/>
  <c r="AD24" i="9"/>
  <c r="AD25" i="9"/>
  <c r="AD26" i="9"/>
  <c r="AD27" i="9"/>
  <c r="AD28" i="9"/>
  <c r="AD29" i="9"/>
  <c r="AD30" i="9"/>
  <c r="AD31" i="9"/>
  <c r="AD33" i="9"/>
  <c r="AD34" i="9"/>
  <c r="AD4" i="9"/>
  <c r="AD5" i="9"/>
  <c r="AD6" i="9"/>
  <c r="AD7" i="9"/>
  <c r="AD8" i="9"/>
  <c r="AD9" i="9"/>
  <c r="AD10" i="9"/>
  <c r="AD11" i="9"/>
  <c r="AD12" i="9"/>
  <c r="AD3" i="9"/>
  <c r="I52" i="9" l="1"/>
  <c r="I51" i="9"/>
  <c r="I50" i="9"/>
  <c r="I49" i="9"/>
  <c r="I48" i="9"/>
  <c r="I47" i="9"/>
  <c r="I46" i="9"/>
  <c r="I45" i="9"/>
  <c r="I44" i="9"/>
  <c r="I43" i="9"/>
  <c r="I42" i="9"/>
  <c r="I41" i="9"/>
  <c r="I40" i="9"/>
  <c r="I39" i="9"/>
  <c r="I38" i="9"/>
  <c r="I36" i="9"/>
  <c r="I35" i="9"/>
  <c r="I37" i="9"/>
  <c r="I34" i="9" l="1"/>
  <c r="I33" i="9"/>
  <c r="I32" i="9"/>
  <c r="I31" i="9"/>
  <c r="I30" i="9"/>
  <c r="I29" i="9"/>
  <c r="I28" i="9"/>
  <c r="I27" i="9"/>
  <c r="I26" i="9"/>
  <c r="I25" i="9"/>
  <c r="I24" i="9"/>
  <c r="I23" i="9"/>
  <c r="I22" i="9"/>
  <c r="I21" i="9"/>
  <c r="X3" i="9" l="1"/>
  <c r="O3" i="9"/>
  <c r="K3" i="9"/>
  <c r="L3" i="9" s="1"/>
  <c r="M3" i="9" s="1"/>
  <c r="T3" i="9" l="1"/>
  <c r="U3" i="9" s="1"/>
  <c r="R3" i="9"/>
  <c r="S3" i="9" s="1"/>
  <c r="I20" i="9"/>
  <c r="I19" i="9"/>
  <c r="I18" i="9"/>
  <c r="I17" i="9"/>
  <c r="I16" i="9"/>
  <c r="I15" i="9"/>
  <c r="I14" i="9"/>
  <c r="I13" i="9"/>
  <c r="I12" i="9"/>
  <c r="I11" i="9"/>
  <c r="I10" i="9"/>
  <c r="I9" i="9"/>
  <c r="I8" i="9"/>
  <c r="I7" i="9"/>
  <c r="I6" i="9"/>
  <c r="I5" i="9"/>
  <c r="I4" i="9"/>
  <c r="X52" i="9" l="1"/>
  <c r="O52" i="9"/>
  <c r="K52" i="9"/>
  <c r="L52" i="9" s="1"/>
  <c r="M52" i="9" s="1"/>
  <c r="X51" i="9"/>
  <c r="O51" i="9"/>
  <c r="K51" i="9"/>
  <c r="L51" i="9" s="1"/>
  <c r="M51" i="9" s="1"/>
  <c r="X50" i="9"/>
  <c r="O50" i="9"/>
  <c r="K50" i="9"/>
  <c r="L50" i="9" s="1"/>
  <c r="M50" i="9" s="1"/>
  <c r="X49" i="9"/>
  <c r="O49" i="9"/>
  <c r="K49" i="9"/>
  <c r="L49" i="9" s="1"/>
  <c r="M49" i="9" s="1"/>
  <c r="X48" i="9"/>
  <c r="O48" i="9"/>
  <c r="K48" i="9"/>
  <c r="L48" i="9" s="1"/>
  <c r="M48" i="9" s="1"/>
  <c r="X47" i="9"/>
  <c r="O47" i="9"/>
  <c r="K47" i="9"/>
  <c r="L47" i="9" s="1"/>
  <c r="M47" i="9" s="1"/>
  <c r="X46" i="9"/>
  <c r="O46" i="9"/>
  <c r="K46" i="9"/>
  <c r="L46" i="9" s="1"/>
  <c r="M46" i="9" s="1"/>
  <c r="X45" i="9"/>
  <c r="O45" i="9"/>
  <c r="K45" i="9"/>
  <c r="L45" i="9" s="1"/>
  <c r="M45" i="9" s="1"/>
  <c r="X44" i="9"/>
  <c r="O44" i="9"/>
  <c r="K44" i="9"/>
  <c r="L44" i="9" s="1"/>
  <c r="M44" i="9" s="1"/>
  <c r="X43" i="9"/>
  <c r="O43" i="9"/>
  <c r="K43" i="9"/>
  <c r="L43" i="9" s="1"/>
  <c r="M43" i="9" s="1"/>
  <c r="X42" i="9"/>
  <c r="O42" i="9"/>
  <c r="K42" i="9"/>
  <c r="L42" i="9" s="1"/>
  <c r="M42" i="9" s="1"/>
  <c r="X41" i="9"/>
  <c r="O41" i="9"/>
  <c r="K41" i="9"/>
  <c r="L41" i="9" s="1"/>
  <c r="M41" i="9" s="1"/>
  <c r="X40" i="9"/>
  <c r="O40" i="9"/>
  <c r="K40" i="9"/>
  <c r="L40" i="9" s="1"/>
  <c r="M40" i="9" s="1"/>
  <c r="X39" i="9"/>
  <c r="O39" i="9"/>
  <c r="K39" i="9"/>
  <c r="L39" i="9" s="1"/>
  <c r="M39" i="9" s="1"/>
  <c r="X38" i="9"/>
  <c r="O38" i="9"/>
  <c r="K38" i="9"/>
  <c r="L38" i="9" s="1"/>
  <c r="M38" i="9" s="1"/>
  <c r="X37" i="9"/>
  <c r="O37" i="9"/>
  <c r="K37" i="9"/>
  <c r="L37" i="9" s="1"/>
  <c r="M37" i="9" s="1"/>
  <c r="X36" i="9"/>
  <c r="O36" i="9"/>
  <c r="K36" i="9"/>
  <c r="L36" i="9" s="1"/>
  <c r="M36" i="9" s="1"/>
  <c r="X35" i="9"/>
  <c r="O35" i="9"/>
  <c r="K35" i="9"/>
  <c r="L35" i="9" s="1"/>
  <c r="M35" i="9" s="1"/>
  <c r="X34" i="9"/>
  <c r="O34" i="9"/>
  <c r="K34" i="9"/>
  <c r="L34" i="9" s="1"/>
  <c r="M34" i="9" s="1"/>
  <c r="X33" i="9"/>
  <c r="O33" i="9"/>
  <c r="K33" i="9"/>
  <c r="L33" i="9" s="1"/>
  <c r="M33" i="9" s="1"/>
  <c r="X32" i="9"/>
  <c r="O32" i="9"/>
  <c r="K32" i="9"/>
  <c r="L32" i="9" s="1"/>
  <c r="M32" i="9" s="1"/>
  <c r="X31" i="9"/>
  <c r="O31" i="9"/>
  <c r="K31" i="9"/>
  <c r="L31" i="9" s="1"/>
  <c r="M31" i="9" s="1"/>
  <c r="X30" i="9"/>
  <c r="O30" i="9"/>
  <c r="K30" i="9"/>
  <c r="L30" i="9" s="1"/>
  <c r="M30" i="9" s="1"/>
  <c r="X29" i="9"/>
  <c r="O29" i="9"/>
  <c r="K29" i="9"/>
  <c r="L29" i="9" s="1"/>
  <c r="M29" i="9" s="1"/>
  <c r="X28" i="9"/>
  <c r="O28" i="9"/>
  <c r="K28" i="9"/>
  <c r="L28" i="9" s="1"/>
  <c r="M28" i="9" s="1"/>
  <c r="X27" i="9"/>
  <c r="O27" i="9"/>
  <c r="K27" i="9"/>
  <c r="L27" i="9" s="1"/>
  <c r="M27" i="9" s="1"/>
  <c r="X26" i="9"/>
  <c r="O26" i="9"/>
  <c r="K26" i="9"/>
  <c r="L26" i="9" s="1"/>
  <c r="M26" i="9" s="1"/>
  <c r="X25" i="9"/>
  <c r="O25" i="9"/>
  <c r="K25" i="9"/>
  <c r="L25" i="9" s="1"/>
  <c r="M25" i="9" s="1"/>
  <c r="X24" i="9"/>
  <c r="O24" i="9"/>
  <c r="K24" i="9"/>
  <c r="L24" i="9" s="1"/>
  <c r="M24" i="9" s="1"/>
  <c r="X23" i="9"/>
  <c r="O23" i="9"/>
  <c r="K23" i="9"/>
  <c r="L23" i="9" s="1"/>
  <c r="M23" i="9" s="1"/>
  <c r="X22" i="9"/>
  <c r="O22" i="9"/>
  <c r="K22" i="9"/>
  <c r="L22" i="9" s="1"/>
  <c r="M22" i="9" s="1"/>
  <c r="X21" i="9"/>
  <c r="O21" i="9"/>
  <c r="K21" i="9"/>
  <c r="L21" i="9" s="1"/>
  <c r="M21" i="9" s="1"/>
  <c r="X20" i="9"/>
  <c r="O20" i="9"/>
  <c r="K20" i="9"/>
  <c r="L20" i="9" s="1"/>
  <c r="M20" i="9" s="1"/>
  <c r="X19" i="9"/>
  <c r="O19" i="9"/>
  <c r="K19" i="9"/>
  <c r="L19" i="9" s="1"/>
  <c r="M19" i="9" s="1"/>
  <c r="X18" i="9"/>
  <c r="O18" i="9"/>
  <c r="K18" i="9"/>
  <c r="L18" i="9" s="1"/>
  <c r="M18" i="9" s="1"/>
  <c r="X17" i="9"/>
  <c r="O17" i="9"/>
  <c r="K17" i="9"/>
  <c r="L17" i="9" s="1"/>
  <c r="M17" i="9" s="1"/>
  <c r="X16" i="9"/>
  <c r="O16" i="9"/>
  <c r="R16" i="9" s="1"/>
  <c r="S16" i="9" s="1"/>
  <c r="K16" i="9"/>
  <c r="L16" i="9" s="1"/>
  <c r="M16" i="9" s="1"/>
  <c r="AJ15" i="9"/>
  <c r="X15" i="9"/>
  <c r="O15" i="9"/>
  <c r="K15" i="9"/>
  <c r="L15" i="9" s="1"/>
  <c r="M15" i="9" s="1"/>
  <c r="X14" i="9"/>
  <c r="O14" i="9"/>
  <c r="R14" i="9" s="1"/>
  <c r="S14" i="9" s="1"/>
  <c r="K14" i="9"/>
  <c r="L14" i="9" s="1"/>
  <c r="M14" i="9" s="1"/>
  <c r="X13" i="9"/>
  <c r="O13" i="9"/>
  <c r="R13" i="9" s="1"/>
  <c r="S13" i="9" s="1"/>
  <c r="K13" i="9"/>
  <c r="L13" i="9" s="1"/>
  <c r="M13" i="9" s="1"/>
  <c r="X12" i="9"/>
  <c r="O12" i="9"/>
  <c r="R12" i="9" s="1"/>
  <c r="S12" i="9" s="1"/>
  <c r="K12" i="9"/>
  <c r="L12" i="9" s="1"/>
  <c r="M12" i="9" s="1"/>
  <c r="X11" i="9"/>
  <c r="O11" i="9"/>
  <c r="K11" i="9"/>
  <c r="L11" i="9" s="1"/>
  <c r="M11" i="9" s="1"/>
  <c r="X10" i="9"/>
  <c r="O10" i="9"/>
  <c r="K10" i="9"/>
  <c r="L10" i="9" s="1"/>
  <c r="M10" i="9" s="1"/>
  <c r="X9" i="9"/>
  <c r="O9" i="9"/>
  <c r="R9" i="9" s="1"/>
  <c r="S9" i="9" s="1"/>
  <c r="K9" i="9"/>
  <c r="L9" i="9" s="1"/>
  <c r="M9" i="9" s="1"/>
  <c r="X8" i="9"/>
  <c r="O8" i="9"/>
  <c r="K8" i="9"/>
  <c r="L8" i="9" s="1"/>
  <c r="M8" i="9" s="1"/>
  <c r="X7" i="9"/>
  <c r="O7" i="9"/>
  <c r="K7" i="9"/>
  <c r="L7" i="9" s="1"/>
  <c r="M7" i="9" s="1"/>
  <c r="X6" i="9"/>
  <c r="O6" i="9"/>
  <c r="K6" i="9"/>
  <c r="L6" i="9" s="1"/>
  <c r="M6" i="9" s="1"/>
  <c r="X5" i="9"/>
  <c r="O5" i="9"/>
  <c r="K5" i="9"/>
  <c r="L5" i="9" s="1"/>
  <c r="M5" i="9" s="1"/>
  <c r="X4" i="9"/>
  <c r="O4" i="9"/>
  <c r="K4" i="9"/>
  <c r="L4" i="9" s="1"/>
  <c r="M4" i="9" s="1"/>
  <c r="N36" i="9" l="1"/>
  <c r="R36" i="9" s="1"/>
  <c r="S36" i="9" s="1"/>
  <c r="T48" i="9"/>
  <c r="U48" i="9" s="1"/>
  <c r="T17" i="9"/>
  <c r="U17" i="9" s="1"/>
  <c r="R17" i="9"/>
  <c r="S17" i="9" s="1"/>
  <c r="T37" i="9"/>
  <c r="U37" i="9" s="1"/>
  <c r="T45" i="9"/>
  <c r="U45" i="9" s="1"/>
  <c r="T4" i="9"/>
  <c r="U4" i="9" s="1"/>
  <c r="R4" i="9"/>
  <c r="S4" i="9" s="1"/>
  <c r="T11" i="9"/>
  <c r="U11" i="9" s="1"/>
  <c r="R11" i="9"/>
  <c r="S11" i="9" s="1"/>
  <c r="T40" i="9"/>
  <c r="U40" i="9" s="1"/>
  <c r="T6" i="9"/>
  <c r="U6" i="9" s="1"/>
  <c r="R6" i="9"/>
  <c r="S6" i="9" s="1"/>
  <c r="N21" i="9"/>
  <c r="R21" i="9" s="1"/>
  <c r="S21" i="9" s="1"/>
  <c r="N23" i="9"/>
  <c r="R23" i="9" s="1"/>
  <c r="S23" i="9" s="1"/>
  <c r="T29" i="9"/>
  <c r="U29" i="9" s="1"/>
  <c r="N29" i="9"/>
  <c r="R29" i="9" s="1"/>
  <c r="S29" i="9" s="1"/>
  <c r="T47" i="9"/>
  <c r="U47" i="9" s="1"/>
  <c r="T10" i="9"/>
  <c r="U10" i="9" s="1"/>
  <c r="R10" i="9"/>
  <c r="S10" i="9" s="1"/>
  <c r="T36" i="9"/>
  <c r="U36" i="9" s="1"/>
  <c r="T44" i="9"/>
  <c r="U44" i="9" s="1"/>
  <c r="T52" i="9"/>
  <c r="U52" i="9" s="1"/>
  <c r="T18" i="9"/>
  <c r="U18" i="9" s="1"/>
  <c r="R18" i="9"/>
  <c r="S18" i="9" s="1"/>
  <c r="T41" i="9"/>
  <c r="U41" i="9" s="1"/>
  <c r="T49" i="9"/>
  <c r="U49" i="9" s="1"/>
  <c r="T20" i="9"/>
  <c r="U20" i="9" s="1"/>
  <c r="R20" i="9"/>
  <c r="S20" i="9" s="1"/>
  <c r="T38" i="9"/>
  <c r="U38" i="9" s="1"/>
  <c r="T46" i="9"/>
  <c r="U46" i="9" s="1"/>
  <c r="T7" i="9"/>
  <c r="U7" i="9" s="1"/>
  <c r="R7" i="9"/>
  <c r="S7" i="9" s="1"/>
  <c r="T15" i="9"/>
  <c r="U15" i="9" s="1"/>
  <c r="R15" i="9"/>
  <c r="S15" i="9" s="1"/>
  <c r="T19" i="9"/>
  <c r="U19" i="9" s="1"/>
  <c r="R19" i="9"/>
  <c r="S19" i="9" s="1"/>
  <c r="N25" i="9"/>
  <c r="R25" i="9" s="1"/>
  <c r="S25" i="9" s="1"/>
  <c r="N27" i="9"/>
  <c r="R27" i="9" s="1"/>
  <c r="S27" i="9" s="1"/>
  <c r="T31" i="9"/>
  <c r="U31" i="9" s="1"/>
  <c r="N31" i="9"/>
  <c r="R31" i="9" s="1"/>
  <c r="S31" i="9" s="1"/>
  <c r="T33" i="9"/>
  <c r="U33" i="9" s="1"/>
  <c r="N33" i="9"/>
  <c r="R33" i="9" s="1"/>
  <c r="S33" i="9" s="1"/>
  <c r="T39" i="9"/>
  <c r="U39" i="9" s="1"/>
  <c r="T8" i="9"/>
  <c r="U8" i="9" s="1"/>
  <c r="R8" i="9"/>
  <c r="S8" i="9" s="1"/>
  <c r="T5" i="9"/>
  <c r="U5" i="9" s="1"/>
  <c r="R5" i="9"/>
  <c r="S5" i="9" s="1"/>
  <c r="T22" i="9"/>
  <c r="U22" i="9" s="1"/>
  <c r="N22" i="9"/>
  <c r="R22" i="9" s="1"/>
  <c r="S22" i="9" s="1"/>
  <c r="T24" i="9"/>
  <c r="U24" i="9" s="1"/>
  <c r="N24" i="9"/>
  <c r="R24" i="9" s="1"/>
  <c r="S24" i="9" s="1"/>
  <c r="T26" i="9"/>
  <c r="U26" i="9" s="1"/>
  <c r="N26" i="9"/>
  <c r="R26" i="9" s="1"/>
  <c r="S26" i="9" s="1"/>
  <c r="T28" i="9"/>
  <c r="U28" i="9" s="1"/>
  <c r="N28" i="9"/>
  <c r="R28" i="9" s="1"/>
  <c r="S28" i="9" s="1"/>
  <c r="T30" i="9"/>
  <c r="U30" i="9" s="1"/>
  <c r="N30" i="9"/>
  <c r="R30" i="9" s="1"/>
  <c r="S30" i="9" s="1"/>
  <c r="T32" i="9"/>
  <c r="U32" i="9" s="1"/>
  <c r="N32" i="9"/>
  <c r="R32" i="9" s="1"/>
  <c r="S32" i="9" s="1"/>
  <c r="T34" i="9"/>
  <c r="U34" i="9" s="1"/>
  <c r="N34" i="9"/>
  <c r="R34" i="9" s="1"/>
  <c r="S34" i="9" s="1"/>
  <c r="T35" i="9"/>
  <c r="U35" i="9" s="1"/>
  <c r="T43" i="9"/>
  <c r="U43" i="9" s="1"/>
  <c r="N43" i="9"/>
  <c r="R43" i="9" s="1"/>
  <c r="S43" i="9" s="1"/>
  <c r="N45" i="9"/>
  <c r="R45" i="9" s="1"/>
  <c r="S45" i="9" s="1"/>
  <c r="N47" i="9"/>
  <c r="R47" i="9" s="1"/>
  <c r="S47" i="9" s="1"/>
  <c r="N41" i="9"/>
  <c r="R41" i="9" s="1"/>
  <c r="S41" i="9" s="1"/>
  <c r="N38" i="9"/>
  <c r="R38" i="9" s="1"/>
  <c r="S38" i="9" s="1"/>
  <c r="N50" i="9"/>
  <c r="R50" i="9" s="1"/>
  <c r="S50" i="9" s="1"/>
  <c r="N49" i="9"/>
  <c r="R49" i="9" s="1"/>
  <c r="S49" i="9" s="1"/>
  <c r="N46" i="9"/>
  <c r="R46" i="9" s="1"/>
  <c r="S46" i="9" s="1"/>
  <c r="N37" i="9"/>
  <c r="R37" i="9" s="1"/>
  <c r="S37" i="9" s="1"/>
  <c r="T13" i="9"/>
  <c r="U13" i="9" s="1"/>
  <c r="T21" i="9"/>
  <c r="U21" i="9" s="1"/>
  <c r="N44" i="9"/>
  <c r="R44" i="9" s="1"/>
  <c r="S44" i="9" s="1"/>
  <c r="N52" i="9"/>
  <c r="R52" i="9" s="1"/>
  <c r="S52" i="9" s="1"/>
  <c r="N51" i="9"/>
  <c r="R51" i="9" s="1"/>
  <c r="S51" i="9" s="1"/>
  <c r="T9" i="9"/>
  <c r="U9" i="9" s="1"/>
  <c r="T12" i="9"/>
  <c r="U12" i="9" s="1"/>
  <c r="N42" i="9"/>
  <c r="R42" i="9" s="1"/>
  <c r="S42" i="9" s="1"/>
  <c r="T50" i="9"/>
  <c r="U50" i="9" s="1"/>
  <c r="N39" i="9"/>
  <c r="R39" i="9" s="1"/>
  <c r="S39" i="9" s="1"/>
  <c r="T14" i="9"/>
  <c r="U14" i="9" s="1"/>
  <c r="T23" i="9"/>
  <c r="U23" i="9" s="1"/>
  <c r="T25" i="9"/>
  <c r="U25" i="9" s="1"/>
  <c r="T42" i="9"/>
  <c r="U42" i="9" s="1"/>
  <c r="T51" i="9"/>
  <c r="U51" i="9" s="1"/>
  <c r="T16" i="9"/>
  <c r="U16" i="9" s="1"/>
  <c r="T27" i="9"/>
  <c r="U27" i="9" s="1"/>
  <c r="N35" i="9"/>
  <c r="R35" i="9" s="1"/>
  <c r="S35" i="9" s="1"/>
  <c r="N48" i="9"/>
  <c r="R48" i="9" s="1"/>
  <c r="S48" i="9" s="1"/>
  <c r="N40" i="9"/>
  <c r="R40" i="9" s="1"/>
  <c r="S40" i="9" s="1"/>
  <c r="J4" i="3" l="1"/>
</calcChain>
</file>

<file path=xl/comments1.xml><?xml version="1.0" encoding="utf-8"?>
<comments xmlns="http://schemas.openxmlformats.org/spreadsheetml/2006/main">
  <authors>
    <author>KEK</author>
    <author>CDM</author>
  </authors>
  <commentList>
    <comment ref="AR14" authorId="0" shapeId="0">
      <text>
        <r>
          <rPr>
            <sz val="8"/>
            <color indexed="81"/>
            <rFont val="Tahoma"/>
            <family val="2"/>
          </rPr>
          <t>Crest elev given as 21 ft; cap at 3 ft above crest elevation. This is a typo - report says VE 25.</t>
        </r>
      </text>
    </comment>
    <comment ref="Y15" authorId="1" shapeId="0">
      <text>
        <r>
          <rPr>
            <b/>
            <sz val="8"/>
            <color indexed="81"/>
            <rFont val="Tahoma"/>
            <family val="2"/>
          </rPr>
          <t>Based on slope types calculated Runup Values:
Smooth = 9.2
Rough (riprap) = 2.0</t>
        </r>
        <r>
          <rPr>
            <sz val="8"/>
            <color indexed="81"/>
            <rFont val="Tahoma"/>
            <family val="2"/>
          </rPr>
          <t xml:space="preserve">
Use 2.0</t>
        </r>
      </text>
    </comment>
    <comment ref="Z18" authorId="1" shapeId="0">
      <text>
        <r>
          <rPr>
            <sz val="8"/>
            <color indexed="81"/>
            <rFont val="Tahoma"/>
            <family val="2"/>
          </rPr>
          <t xml:space="preserve">Runup value from the ACES (14.08) was adjusted using the Casco Bay Runup Method
</t>
        </r>
      </text>
    </comment>
    <comment ref="Y28" authorId="1" shapeId="0">
      <text>
        <r>
          <rPr>
            <b/>
            <sz val="8"/>
            <color indexed="81"/>
            <rFont val="Tahoma"/>
            <family val="2"/>
          </rPr>
          <t xml:space="preserve">Different roughness values; Gerber uses 12.8
</t>
        </r>
        <r>
          <rPr>
            <sz val="8"/>
            <color indexed="81"/>
            <rFont val="Tahoma"/>
            <family val="2"/>
          </rPr>
          <t xml:space="preserve">
</t>
        </r>
      </text>
    </comment>
  </commentList>
</comments>
</file>

<file path=xl/sharedStrings.xml><?xml version="1.0" encoding="utf-8"?>
<sst xmlns="http://schemas.openxmlformats.org/spreadsheetml/2006/main" count="1359" uniqueCount="536">
  <si>
    <t>SWEL</t>
  </si>
  <si>
    <t>Wave Length</t>
  </si>
  <si>
    <t>1:ON</t>
  </si>
  <si>
    <t>Wave Setup</t>
  </si>
  <si>
    <t>Total Water Level</t>
  </si>
  <si>
    <t>Does Structure Exist?</t>
  </si>
  <si>
    <t>Revetment or Vertical Structure?</t>
  </si>
  <si>
    <t>Armor Depth</t>
  </si>
  <si>
    <t>SURVEY</t>
  </si>
  <si>
    <t>Open / Restricted</t>
  </si>
  <si>
    <t>Wind Speed (m/s)</t>
  </si>
  <si>
    <t>Average Transect Slope</t>
  </si>
  <si>
    <t>Average Beach Slope</t>
  </si>
  <si>
    <t>Top / SWEL Station</t>
  </si>
  <si>
    <t>Top / SWEL Elevation</t>
  </si>
  <si>
    <t>Average Shore Slope</t>
  </si>
  <si>
    <t>Structure Analysis</t>
  </si>
  <si>
    <t>Wave Runup</t>
  </si>
  <si>
    <t>Runup 2% (ft)</t>
  </si>
  <si>
    <t>Overtopped?</t>
  </si>
  <si>
    <t>Setup on Failed Structure</t>
  </si>
  <si>
    <t>Runup on Failed Structure</t>
  </si>
  <si>
    <t>Toe / Breaking Wave Height Elevation</t>
  </si>
  <si>
    <t>Toe Station</t>
  </si>
  <si>
    <t>Fetch Length (mi)</t>
  </si>
  <si>
    <t>Average Transect SLOPE, m</t>
  </si>
  <si>
    <t>Method</t>
  </si>
  <si>
    <t>Notes on Engineering Decisions</t>
  </si>
  <si>
    <t>STRUCTURE</t>
  </si>
  <si>
    <t>FAILURE</t>
  </si>
  <si>
    <t>WHAFIS INTACT</t>
  </si>
  <si>
    <t>WHAFIS FAILED</t>
  </si>
  <si>
    <t>RUNUP</t>
  </si>
  <si>
    <t>EROSION</t>
  </si>
  <si>
    <t>SWEL/TWEL</t>
  </si>
  <si>
    <t>SHEET NO.</t>
  </si>
  <si>
    <t>PROJECT NO.</t>
  </si>
  <si>
    <t>CLIENT</t>
  </si>
  <si>
    <t>FEMA Region I</t>
  </si>
  <si>
    <t>DATE</t>
  </si>
  <si>
    <t>SUBJECT</t>
  </si>
  <si>
    <t>BY</t>
  </si>
  <si>
    <t>CHECKED BY</t>
  </si>
  <si>
    <t>ASSOCIATED FILES:</t>
  </si>
  <si>
    <t>SWELs</t>
  </si>
  <si>
    <t>Average Transect Slopes</t>
  </si>
  <si>
    <t>Analysis by:</t>
  </si>
  <si>
    <t>MathCAD</t>
  </si>
  <si>
    <t>Transects</t>
  </si>
  <si>
    <t>100% QA</t>
  </si>
  <si>
    <t>10% complete QA</t>
  </si>
  <si>
    <t>CHAMP db creation</t>
  </si>
  <si>
    <t>CHAMP intact</t>
  </si>
  <si>
    <t>CHAMP failed</t>
  </si>
  <si>
    <t>CHAMP QA</t>
  </si>
  <si>
    <t>Map Decision Graphs</t>
  </si>
  <si>
    <t>Mapping Decisions</t>
  </si>
  <si>
    <t>Mapping Decisions QA</t>
  </si>
  <si>
    <t>Mapping Decisions Reply to QA</t>
  </si>
  <si>
    <t>Deep Water Wave Height</t>
  </si>
  <si>
    <t>BD-1</t>
  </si>
  <si>
    <t>BD-2</t>
  </si>
  <si>
    <t>BD-3</t>
  </si>
  <si>
    <t>BD-4</t>
  </si>
  <si>
    <t>BD-5</t>
  </si>
  <si>
    <t>BD-6</t>
  </si>
  <si>
    <t>BD-7</t>
  </si>
  <si>
    <t>BD-8</t>
  </si>
  <si>
    <t>BD-9</t>
  </si>
  <si>
    <t>BD-10</t>
  </si>
  <si>
    <t>BD-11</t>
  </si>
  <si>
    <t>BD-12</t>
  </si>
  <si>
    <t>BD-13</t>
  </si>
  <si>
    <t>BD-14</t>
  </si>
  <si>
    <t>BD-15</t>
  </si>
  <si>
    <t>BD-16</t>
  </si>
  <si>
    <t>BD-17</t>
  </si>
  <si>
    <t>BD-18</t>
  </si>
  <si>
    <t>WHAFIS</t>
  </si>
  <si>
    <t>RUNUP 2.0</t>
  </si>
  <si>
    <t>TAW</t>
  </si>
  <si>
    <t>Rocky Bluff</t>
  </si>
  <si>
    <t>Dune</t>
  </si>
  <si>
    <t>Rocky/Revetment</t>
  </si>
  <si>
    <t>Cobble Beach/Revetment</t>
  </si>
  <si>
    <t>Cobble Beach/Wall</t>
  </si>
  <si>
    <t>Dune/Revetment</t>
  </si>
  <si>
    <t>Dune/Seawall</t>
  </si>
  <si>
    <t>Cobble Beach</t>
  </si>
  <si>
    <t>Rocky</t>
  </si>
  <si>
    <t>ACES Structure</t>
  </si>
  <si>
    <t>SPM</t>
  </si>
  <si>
    <t>ACES Beach</t>
  </si>
  <si>
    <t>NO</t>
  </si>
  <si>
    <t>YES</t>
  </si>
  <si>
    <t>KB-1</t>
  </si>
  <si>
    <t>KB-2</t>
  </si>
  <si>
    <t>KB-3</t>
  </si>
  <si>
    <t>KB-4</t>
  </si>
  <si>
    <t>KB-5</t>
  </si>
  <si>
    <t>KB-6</t>
  </si>
  <si>
    <t>KB-7</t>
  </si>
  <si>
    <t>KB-8</t>
  </si>
  <si>
    <t>KB-9</t>
  </si>
  <si>
    <t>KB-10</t>
  </si>
  <si>
    <t>KB-11</t>
  </si>
  <si>
    <t>KB-12</t>
  </si>
  <si>
    <t>KB-13</t>
  </si>
  <si>
    <t>KB-14</t>
  </si>
  <si>
    <t>Bluff</t>
  </si>
  <si>
    <t>Cobble/Wall</t>
  </si>
  <si>
    <t>Ledge/Wall</t>
  </si>
  <si>
    <t>Dune/Wall</t>
  </si>
  <si>
    <t>Dune Eroded</t>
  </si>
  <si>
    <t>Revetment</t>
  </si>
  <si>
    <t>Cobble/Dune/Eroded</t>
  </si>
  <si>
    <t>Till Bluff</t>
  </si>
  <si>
    <t>Dune/Eroded</t>
  </si>
  <si>
    <t>Ledge</t>
  </si>
  <si>
    <t>KP-1</t>
  </si>
  <si>
    <t>KP-2</t>
  </si>
  <si>
    <t>KP-3</t>
  </si>
  <si>
    <t>KP-4</t>
  </si>
  <si>
    <t>KP-5</t>
  </si>
  <si>
    <t>KP-6</t>
  </si>
  <si>
    <t>KP-7</t>
  </si>
  <si>
    <t>KP-8</t>
  </si>
  <si>
    <t>KP-9</t>
  </si>
  <si>
    <t>KP-10</t>
  </si>
  <si>
    <t>KP-11</t>
  </si>
  <si>
    <t>KP-12</t>
  </si>
  <si>
    <t>KP-13</t>
  </si>
  <si>
    <t>KP-14</t>
  </si>
  <si>
    <t>KP-15</t>
  </si>
  <si>
    <t>KP-16</t>
  </si>
  <si>
    <t>KP-17</t>
  </si>
  <si>
    <t>KP-18</t>
  </si>
  <si>
    <t>Beach</t>
  </si>
  <si>
    <t>Soil Bluff</t>
  </si>
  <si>
    <t>Dune over Rock</t>
  </si>
  <si>
    <t>TAW/Casco Bay</t>
  </si>
  <si>
    <t>York, ME Submitted Engineering Summary Sheet</t>
  </si>
  <si>
    <t>STARR Transect ID</t>
  </si>
  <si>
    <t>YK-109</t>
  </si>
  <si>
    <t>YK-108</t>
  </si>
  <si>
    <t>YK-107</t>
  </si>
  <si>
    <t>YK-106</t>
  </si>
  <si>
    <t>YK-105</t>
  </si>
  <si>
    <t>YK-104</t>
  </si>
  <si>
    <t>YK-103</t>
  </si>
  <si>
    <t>YK-102</t>
  </si>
  <si>
    <t>YK-101</t>
  </si>
  <si>
    <t>YK-100</t>
  </si>
  <si>
    <t>YK-99</t>
  </si>
  <si>
    <t>YK-98</t>
  </si>
  <si>
    <t>YK-97</t>
  </si>
  <si>
    <t>YK-96</t>
  </si>
  <si>
    <t>YK-95</t>
  </si>
  <si>
    <t>YK-94</t>
  </si>
  <si>
    <t>YK-93</t>
  </si>
  <si>
    <t>YK-92</t>
  </si>
  <si>
    <t>YK-79</t>
  </si>
  <si>
    <t>YK-80</t>
  </si>
  <si>
    <t>YK-81</t>
  </si>
  <si>
    <t>YK-82</t>
  </si>
  <si>
    <t>YK-83</t>
  </si>
  <si>
    <t>YK-84</t>
  </si>
  <si>
    <t>YK-85</t>
  </si>
  <si>
    <t>YK-86</t>
  </si>
  <si>
    <t>YK-87</t>
  </si>
  <si>
    <t>YK-88</t>
  </si>
  <si>
    <t>YK-89</t>
  </si>
  <si>
    <t>YK-90</t>
  </si>
  <si>
    <t>YK-91</t>
  </si>
  <si>
    <t>YK-110</t>
  </si>
  <si>
    <t>YK-111</t>
  </si>
  <si>
    <t>YK-112</t>
  </si>
  <si>
    <t>YK-113</t>
  </si>
  <si>
    <t>YK-114</t>
  </si>
  <si>
    <t>YK-115</t>
  </si>
  <si>
    <t>YK-116</t>
  </si>
  <si>
    <t>YK-117</t>
  </si>
  <si>
    <t>YK-118</t>
  </si>
  <si>
    <t>YK-119</t>
  </si>
  <si>
    <t>YK-120</t>
  </si>
  <si>
    <t>YK-121</t>
  </si>
  <si>
    <t>YK-122</t>
  </si>
  <si>
    <t>YK-123</t>
  </si>
  <si>
    <t>YK-124</t>
  </si>
  <si>
    <t>YK-125</t>
  </si>
  <si>
    <t>YK-126</t>
  </si>
  <si>
    <t>YK-127</t>
  </si>
  <si>
    <t>York</t>
  </si>
  <si>
    <t>Saco</t>
  </si>
  <si>
    <t>Wells</t>
  </si>
  <si>
    <t>n/a</t>
  </si>
  <si>
    <t>Maximum Wave Crest Elevation Simulated by WHAFIS (ft)</t>
  </si>
  <si>
    <t>Basis of Mapping Decision</t>
  </si>
  <si>
    <t>STWAVE Model Used</t>
  </si>
  <si>
    <t>S45E</t>
  </si>
  <si>
    <t>NA</t>
  </si>
  <si>
    <t>Mapped VE Zone along 15-ft contour with AE Zone above to the 18-ft contour</t>
  </si>
  <si>
    <t>S20W</t>
  </si>
  <si>
    <t>Mapped VE Zone along 9-ft contour with AE Zone above to the 12-ft contour</t>
  </si>
  <si>
    <t>N90E</t>
  </si>
  <si>
    <t>Limit of VE Zone is bluff crest</t>
  </si>
  <si>
    <t>Mapped VE Zone along 19-ft contour with AE Zone above to the 22-ft contour, although AE Zone may be too narrow to map</t>
  </si>
  <si>
    <t>Dune removal</t>
  </si>
  <si>
    <t>Include splash zone</t>
  </si>
  <si>
    <t>Defers to FEMA on whether this is a PFD. Requests alternative treatment as a bluff and splash zone behind the crest of the wall since avg backslope of feature is approx 33H:1V.</t>
  </si>
  <si>
    <t>Defers to FEMA on whether this is a PFD. Requests alternative treatment as a bluff and splash zone behind the crest of the wall since avg backslope of feature is approx 20H:1V.</t>
  </si>
  <si>
    <t>Dune retreat</t>
  </si>
  <si>
    <t>N70E</t>
  </si>
  <si>
    <t>VE Zone Break Elevation (ft)</t>
  </si>
  <si>
    <t>Riprap revetment</t>
  </si>
  <si>
    <t>S60E</t>
  </si>
  <si>
    <t>S86E lim</t>
  </si>
  <si>
    <t>x</t>
  </si>
  <si>
    <t>WHAFIS/RUNUP</t>
  </si>
  <si>
    <t>PFD</t>
  </si>
  <si>
    <t>Runup Elevation (ft)</t>
  </si>
  <si>
    <t>YK-50</t>
  </si>
  <si>
    <t>YK-51</t>
  </si>
  <si>
    <t>YK-52</t>
  </si>
  <si>
    <t>YK-53</t>
  </si>
  <si>
    <t>YK-54</t>
  </si>
  <si>
    <t>YK-55</t>
  </si>
  <si>
    <t>YK-56</t>
  </si>
  <si>
    <t>YK-57</t>
  </si>
  <si>
    <t>YK-58</t>
  </si>
  <si>
    <t>YK-59</t>
  </si>
  <si>
    <t>YK-60</t>
  </si>
  <si>
    <t>YK-61</t>
  </si>
  <si>
    <t>YK-62</t>
  </si>
  <si>
    <t>YK-63</t>
  </si>
  <si>
    <t>YK-64</t>
  </si>
  <si>
    <t>YK-65</t>
  </si>
  <si>
    <t>YK-66</t>
  </si>
  <si>
    <t>YK-67</t>
  </si>
  <si>
    <t>YK-68</t>
  </si>
  <si>
    <t>YK-69</t>
  </si>
  <si>
    <t>YK-70</t>
  </si>
  <si>
    <t>YK-71</t>
  </si>
  <si>
    <t>YK-72</t>
  </si>
  <si>
    <t>YK-73</t>
  </si>
  <si>
    <t>YK-74</t>
  </si>
  <si>
    <t>YK-75</t>
  </si>
  <si>
    <t>YK-76</t>
  </si>
  <si>
    <t>YK-77</t>
  </si>
  <si>
    <t>YK-34</t>
  </si>
  <si>
    <t>YK-35</t>
  </si>
  <si>
    <t>YK-36</t>
  </si>
  <si>
    <t>YK-37</t>
  </si>
  <si>
    <t>YK-38</t>
  </si>
  <si>
    <t>YK-39</t>
  </si>
  <si>
    <t>YK-40</t>
  </si>
  <si>
    <t>OG-9</t>
  </si>
  <si>
    <t>OG-8</t>
  </si>
  <si>
    <t>OG-7</t>
  </si>
  <si>
    <t>OG-6</t>
  </si>
  <si>
    <t>OG-5</t>
  </si>
  <si>
    <t>OG-4</t>
  </si>
  <si>
    <t>OG-3</t>
  </si>
  <si>
    <t>OG-2</t>
  </si>
  <si>
    <t>OG-1</t>
  </si>
  <si>
    <t>YK-25</t>
  </si>
  <si>
    <t>YK-26</t>
  </si>
  <si>
    <t>YK-27</t>
  </si>
  <si>
    <t>YK-28</t>
  </si>
  <si>
    <t>YK-29</t>
  </si>
  <si>
    <t>YK-30</t>
  </si>
  <si>
    <t>YK-31</t>
  </si>
  <si>
    <t>YK-32</t>
  </si>
  <si>
    <t>YK-33</t>
  </si>
  <si>
    <t>YK-41</t>
  </si>
  <si>
    <t>YK-42</t>
  </si>
  <si>
    <t>YK-43</t>
  </si>
  <si>
    <t>YK-44</t>
  </si>
  <si>
    <t>YK-45</t>
  </si>
  <si>
    <t>YK-46</t>
  </si>
  <si>
    <t>YK-47</t>
  </si>
  <si>
    <t>YK-48</t>
  </si>
  <si>
    <t>YK-49</t>
  </si>
  <si>
    <t>YK-10</t>
  </si>
  <si>
    <t>YK-11</t>
  </si>
  <si>
    <t>YK-12</t>
  </si>
  <si>
    <t>YK-13</t>
  </si>
  <si>
    <t>YK-14</t>
  </si>
  <si>
    <t>YK-15</t>
  </si>
  <si>
    <t>YK-16</t>
  </si>
  <si>
    <t>YK-17</t>
  </si>
  <si>
    <t>YK-18</t>
  </si>
  <si>
    <t>YK-19</t>
  </si>
  <si>
    <t>YK-20</t>
  </si>
  <si>
    <t>YK-21</t>
  </si>
  <si>
    <t>YK-22</t>
  </si>
  <si>
    <t>YK-23</t>
  </si>
  <si>
    <t>YK-24</t>
  </si>
  <si>
    <t>YK-01</t>
  </si>
  <si>
    <t>YK-02</t>
  </si>
  <si>
    <t>YK-03</t>
  </si>
  <si>
    <t>YK-04</t>
  </si>
  <si>
    <t>YK-05</t>
  </si>
  <si>
    <t>YK-06</t>
  </si>
  <si>
    <t>YK-07</t>
  </si>
  <si>
    <t>YK-08</t>
  </si>
  <si>
    <t>YK-09</t>
  </si>
  <si>
    <t>KT-16</t>
  </si>
  <si>
    <t>KT-15</t>
  </si>
  <si>
    <t>KT-13</t>
  </si>
  <si>
    <t>KT-14</t>
  </si>
  <si>
    <t>KT-12</t>
  </si>
  <si>
    <t>KT-11</t>
  </si>
  <si>
    <t>KT-10</t>
  </si>
  <si>
    <t>KT-9</t>
  </si>
  <si>
    <t>KT-8</t>
  </si>
  <si>
    <t>KT-7</t>
  </si>
  <si>
    <t>KT-6</t>
  </si>
  <si>
    <t>KT-4</t>
  </si>
  <si>
    <t>KT-5</t>
  </si>
  <si>
    <t>KT-3</t>
  </si>
  <si>
    <t>KT-2</t>
  </si>
  <si>
    <t>KT-1</t>
  </si>
  <si>
    <t>YK-128</t>
  </si>
  <si>
    <t>YK-129</t>
  </si>
  <si>
    <t>YK-130</t>
  </si>
  <si>
    <t>YK-131</t>
  </si>
  <si>
    <t>YK-132</t>
  </si>
  <si>
    <t>YK-133</t>
  </si>
  <si>
    <t>YK-134</t>
  </si>
  <si>
    <t>YK-135</t>
  </si>
  <si>
    <t>YK-136</t>
  </si>
  <si>
    <t>YK-137</t>
  </si>
  <si>
    <t>YK-138</t>
  </si>
  <si>
    <t>YK-139</t>
  </si>
  <si>
    <t>YK-140</t>
  </si>
  <si>
    <t>YK-141</t>
  </si>
  <si>
    <t>YK-142</t>
  </si>
  <si>
    <t>OB-1</t>
  </si>
  <si>
    <t>OB-2</t>
  </si>
  <si>
    <t>OB-3</t>
  </si>
  <si>
    <t>OB-4</t>
  </si>
  <si>
    <t>OB-5</t>
  </si>
  <si>
    <t>OB-6</t>
  </si>
  <si>
    <t>OB-7</t>
  </si>
  <si>
    <t>cliff</t>
  </si>
  <si>
    <t>NS</t>
  </si>
  <si>
    <t>Steep Rocky beach</t>
  </si>
  <si>
    <t>Steep beach</t>
  </si>
  <si>
    <t>Rocks</t>
  </si>
  <si>
    <t>Man-made?</t>
  </si>
  <si>
    <t>Piled stones</t>
  </si>
  <si>
    <t>Stone Wall</t>
  </si>
  <si>
    <t>Rocks: man-made?</t>
  </si>
  <si>
    <t>Piled up boulders</t>
  </si>
  <si>
    <t>Rockface</t>
  </si>
  <si>
    <t>Small Wall</t>
  </si>
  <si>
    <t>Rocky shore</t>
  </si>
  <si>
    <t>Concrete Wall</t>
  </si>
  <si>
    <t>Wall</t>
  </si>
  <si>
    <t>Stones</t>
  </si>
  <si>
    <t>SeaWall</t>
  </si>
  <si>
    <t>Piled Boulders</t>
  </si>
  <si>
    <t>Seawall</t>
  </si>
  <si>
    <t>Wells_100yr</t>
  </si>
  <si>
    <t>Sand Dune</t>
  </si>
  <si>
    <t>Piled Up Boulders</t>
  </si>
  <si>
    <t>KT-17</t>
  </si>
  <si>
    <t>YK-143</t>
  </si>
  <si>
    <t>OB-8</t>
  </si>
  <si>
    <t>Notes</t>
  </si>
  <si>
    <r>
      <t>H</t>
    </r>
    <r>
      <rPr>
        <vertAlign val="subscript"/>
        <sz val="10"/>
        <color theme="1"/>
        <rFont val="Arial"/>
        <family val="2"/>
      </rPr>
      <t>b</t>
    </r>
  </si>
  <si>
    <r>
      <t>d</t>
    </r>
    <r>
      <rPr>
        <vertAlign val="subscript"/>
        <sz val="10"/>
        <color theme="1"/>
        <rFont val="Arial"/>
        <family val="2"/>
      </rPr>
      <t>b</t>
    </r>
  </si>
  <si>
    <r>
      <t>Open, h</t>
    </r>
    <r>
      <rPr>
        <vertAlign val="subscript"/>
        <sz val="10"/>
        <color theme="1"/>
        <rFont val="Arial"/>
        <family val="2"/>
      </rPr>
      <t xml:space="preserve">open </t>
    </r>
    <r>
      <rPr>
        <sz val="10"/>
        <color theme="1"/>
        <rFont val="Arial"/>
        <family val="2"/>
      </rPr>
      <t>(ft)</t>
    </r>
  </si>
  <si>
    <r>
      <t>With Structure h</t>
    </r>
    <r>
      <rPr>
        <vertAlign val="subscript"/>
        <sz val="10"/>
        <color theme="1"/>
        <rFont val="Arial"/>
        <family val="2"/>
      </rPr>
      <t>structure</t>
    </r>
    <r>
      <rPr>
        <sz val="10"/>
        <color theme="1"/>
        <rFont val="Arial"/>
        <family val="2"/>
      </rPr>
      <t xml:space="preserve"> (ft)</t>
    </r>
  </si>
  <si>
    <r>
      <t xml:space="preserve">Include splash zone. </t>
    </r>
    <r>
      <rPr>
        <sz val="10"/>
        <color rgb="FFFF0000"/>
        <rFont val="Arial"/>
        <family val="2"/>
      </rPr>
      <t>Typo in Mathcad sheet has top of structure at 113.48 ft for TAW overtopping calcs</t>
    </r>
  </si>
  <si>
    <t>YK-144</t>
  </si>
  <si>
    <t>Switched 26 and 27, along with Toe Stn. And Top Stn.</t>
  </si>
  <si>
    <t xml:space="preserve">Effective MapMod SWELs were used for York.  </t>
  </si>
  <si>
    <t>See BC email from 9/4/12 1:32PM for SWEL results.</t>
  </si>
  <si>
    <t>Wave Height (m)</t>
  </si>
  <si>
    <t>Wave Height (ft)</t>
  </si>
  <si>
    <t>Runup 2.0</t>
  </si>
  <si>
    <t>Performed by EH (YK-18 to 77, 130 to 136)</t>
  </si>
  <si>
    <t>N/A</t>
  </si>
  <si>
    <t>NO Survey</t>
  </si>
  <si>
    <t>Appears to be revetment with vertical wall behind. Not sure if it is actually a revetment or a gravel beach in front of wall, but assuming it's a revetment, or would behave like a revetment</t>
  </si>
  <si>
    <t>No Survey</t>
  </si>
  <si>
    <t>Yes</t>
  </si>
  <si>
    <t>Revetment backed by vertical</t>
  </si>
  <si>
    <t>Created: 08/01/2007
Revised: 09/2012</t>
  </si>
  <si>
    <t>FailedStructure (ft)</t>
  </si>
  <si>
    <t>Steep gravel shoreline</t>
  </si>
  <si>
    <t xml:space="preserve">Steep gravel shoreline. No structure. </t>
  </si>
  <si>
    <t>Did not fail since no real structure exists</t>
  </si>
  <si>
    <t>Not subject to failure. Wall on top of rock outcrop.</t>
  </si>
  <si>
    <t>Vertical</t>
  </si>
  <si>
    <t>No Structure</t>
  </si>
  <si>
    <t>Gravely Beach. Not subject to typical erosion</t>
  </si>
  <si>
    <t>Peat shoreline. Not subject to erosion</t>
  </si>
  <si>
    <t>(determined from STWAVE)</t>
  </si>
  <si>
    <t>Rock outcrop shoreline. Not subject to failure.</t>
  </si>
  <si>
    <t>Rock outcrop shoreline. No Erosion</t>
  </si>
  <si>
    <t>Vertical wall with rock outcrop in front</t>
  </si>
  <si>
    <t>Surveyed vertical wall was not in location of transect, but was considered to represent the area and was included in transect lidar data. Most of reach area is vertical wall with rock outcrop in front. Represented the structure and rock outcrops as a composite revetment</t>
  </si>
  <si>
    <t>Gravel / Bedrock on beach in front of structure, therefore, not subject to failure</t>
  </si>
  <si>
    <t>Rock Outcrop</t>
  </si>
  <si>
    <t>Steep sloping rock outcrop at the shoreline</t>
  </si>
  <si>
    <t>Gravel Beach - No Failure</t>
  </si>
  <si>
    <t xml:space="preserve">Cobble revetment </t>
  </si>
  <si>
    <t>No typical erosion. Profile is not sandy</t>
  </si>
  <si>
    <t>Bedrock Bluff</t>
  </si>
  <si>
    <t>Not subject to failure</t>
  </si>
  <si>
    <t>Revetment with sandy beach in front</t>
  </si>
  <si>
    <t>Rock outcrop revetment with wall on top</t>
  </si>
  <si>
    <t>Rock outcrop with wall at the top</t>
  </si>
  <si>
    <t>Rock outcrop with wall on top</t>
  </si>
  <si>
    <t xml:space="preserve">Not subject to failure. </t>
  </si>
  <si>
    <t>Not subject to any erosion</t>
  </si>
  <si>
    <t>Toe of structure adjusted for runup calculations</t>
  </si>
  <si>
    <t xml:space="preserve">Rock outcrop revetment </t>
  </si>
  <si>
    <t>Not subject to erosion</t>
  </si>
  <si>
    <t>Rock outcrop revetment</t>
  </si>
  <si>
    <t>Vertical wall with rock outcrop in front. Composite slope</t>
  </si>
  <si>
    <t>Vertical wall with bedrock revetment below / seaward. Composite slope.</t>
  </si>
  <si>
    <t>Revetment - rock outcrop</t>
  </si>
  <si>
    <t>Steep bedrock bluff</t>
  </si>
  <si>
    <t>Created: 08/28/2007
Revised: 09/2012</t>
  </si>
  <si>
    <t>Performed by EH (YK-36 to 46, bathymetry judgment req'd)</t>
  </si>
  <si>
    <t>NOTES</t>
  </si>
  <si>
    <t>FB</t>
  </si>
  <si>
    <t>MAPMOD (Kittery, Ogunquit, OOB)</t>
  </si>
  <si>
    <t>NEW</t>
  </si>
  <si>
    <t>LK</t>
  </si>
  <si>
    <t>YES, REMOVAL</t>
  </si>
  <si>
    <t>YES, RETREAT</t>
  </si>
  <si>
    <t>TAW invalid, Runup 2.0</t>
  </si>
  <si>
    <t>Wall/Rocky Bluff</t>
  </si>
  <si>
    <t>TAW invalid, RUNUP 2.0</t>
  </si>
  <si>
    <t>Revetment bedrock outcrop with vertical wall on top</t>
  </si>
  <si>
    <t>Vertical wall on top of steep bedrock bluff</t>
  </si>
  <si>
    <t>Not subject to erosion. Bedrock bluff.</t>
  </si>
  <si>
    <t>Gravel / revetment / bedrock not subject to failure</t>
  </si>
  <si>
    <t xml:space="preserve">Some sections of cobble revetments. Other sections of steep bedrock. Other sections of gravel bluffs. </t>
  </si>
  <si>
    <t>Not subject to erosion.</t>
  </si>
  <si>
    <t>Sections of revetment, gravel bluff, and steep bedrock outcrops</t>
  </si>
  <si>
    <t>Subject to erosion. Sandy beach area.</t>
  </si>
  <si>
    <t>TSDN</t>
  </si>
  <si>
    <t>\\camgissvr1\FEMA-R1\MAP_MOD_PROG\York_ME\COASTAL\TO16\YORK_CO_ME\TO 16 YC Tasks 1 2 &amp; 3 Deliverables Report with TSDN.pdf</t>
  </si>
  <si>
    <t>Bedrock bluff</t>
  </si>
  <si>
    <t>Revetment - rock outcrop with vertical wall on top</t>
  </si>
  <si>
    <t xml:space="preserve">Bedrock revetment with small vertical wall on top. </t>
  </si>
  <si>
    <t>Revetment - Vertical wall with steep gravel shoreline / bedrock in front</t>
  </si>
  <si>
    <t>Small vertical wall with toe well above SWEL behind steep gravel sloping beach, or steep bedrock</t>
  </si>
  <si>
    <t>Setup on a structure ignored.</t>
  </si>
  <si>
    <t>TAW method invalid based on structure slope.  RUNUP 2.0 used instead.</t>
  </si>
  <si>
    <t>TAW Surf Zone (MATLAB)</t>
  </si>
  <si>
    <t>Revetment backed by vertical wall</t>
  </si>
  <si>
    <t>Rock Revetment</t>
  </si>
  <si>
    <t>Rock revetment backed by steel sheet pile / concrete seawall.</t>
  </si>
  <si>
    <t>Vertical Wall</t>
  </si>
  <si>
    <t>Vertical wall with some sections of revetment in front. Survey does not capture revetment in front of wall.</t>
  </si>
  <si>
    <t>Transect location has vertical wall with revetment in front. Survey data does not capture sections of wall with revetment in front</t>
  </si>
  <si>
    <t>Areas with revetment in front may not be subject to failure, but due to survey data location, transect was failed</t>
  </si>
  <si>
    <t>Vertical wall with some sections of revetment in front. Survey data includes some rocks in front but these were not considered. WHAFIS may need to be adjusted to reflect a true vertical wall</t>
  </si>
  <si>
    <t>Subject to failure.</t>
  </si>
  <si>
    <t>Vertical wall with revetment in front</t>
  </si>
  <si>
    <t>Vertical wall with some sections of revetment in front. Toe of vertical wall is above SWEL.</t>
  </si>
  <si>
    <t>Revetment in front of vertical wall not subject to failure.</t>
  </si>
  <si>
    <t>Subject to erosion</t>
  </si>
  <si>
    <t>Vertical wall</t>
  </si>
  <si>
    <t>Marshplain.</t>
  </si>
  <si>
    <t>Revetment. Lower elev SW of transect. Hydraulically connected?</t>
  </si>
  <si>
    <t>Marsh/stream beyond shoreline.</t>
  </si>
  <si>
    <t>Bluff backed by trees. Lower elevation area open to inundation. Use BFE from transect to apply near house.</t>
  </si>
  <si>
    <t>Dune backed by pond/marsh.</t>
  </si>
  <si>
    <t>Ballfield behind structure. Not hydr. Connected.</t>
  </si>
  <si>
    <t>Island offshore</t>
  </si>
  <si>
    <t>Setup on a structure ignored both intact and failed scenarios. Only open coast setup considered. Structure is in harbor, which is fronted by a spit/parking lot area.</t>
  </si>
  <si>
    <t>New MathCAD Sheets</t>
  </si>
  <si>
    <t>\\camgissvr1\FEMA-R1\RiskMAP\RegionI\ME\York_ME\ENGINEERING\COASTAL\OFFSHORE_WAVE&amp;STILLWATER_MODELS\MATHCAD</t>
  </si>
  <si>
    <t>MAPMOD</t>
  </si>
  <si>
    <t>LKelln</t>
  </si>
  <si>
    <t>MAPMOD: Performed by LKelln (10/1/2012)</t>
  </si>
  <si>
    <t xml:space="preserve">Wave Heights and </t>
  </si>
  <si>
    <t>Wave Periods</t>
  </si>
  <si>
    <t>\\camgissvr1\FEMA-R1\RiskMAP\RegionI\ME\York_ME\ENGINEERING\COASTAL\OFFSHORE_WAVE&amp;STILLWATER_MODELS\STWAVE\York_STWaveResults.pptx</t>
  </si>
  <si>
    <t>Performed by FB</t>
  </si>
  <si>
    <t>MAPMOD: Existing MAPMOD Champ db.</t>
  </si>
  <si>
    <t>Dune subject to erosion</t>
  </si>
  <si>
    <t>Jersey barrier with dune in front. Not considering structure</t>
  </si>
  <si>
    <t>Subject to failure</t>
  </si>
  <si>
    <t>Toe of structure is at elevation 12.2feet, which is above the SWEL elevation of 8.9. However, with 4 feet of setup, this wall will influence the structure slope. Therefore, composite slope (reventment) sheet is used</t>
  </si>
  <si>
    <t>Composite (vertical wall with toe above SWL)</t>
  </si>
  <si>
    <t>Not subject to failure since it is composite slope</t>
  </si>
  <si>
    <t>Seawall with revetment in front so composite slope used</t>
  </si>
  <si>
    <t>not subject to failure</t>
  </si>
  <si>
    <t>Composite (seawall with revetment in front)</t>
  </si>
  <si>
    <t>slope not valid for TAW</t>
  </si>
  <si>
    <t>Structure toe above SWEL. Composite slope used</t>
  </si>
  <si>
    <t>Composite slope not subject to failure</t>
  </si>
  <si>
    <t>Composite (seawall with toe above SWEL)</t>
  </si>
  <si>
    <t>AH</t>
  </si>
  <si>
    <t>QC and passed on Oct 10, 2012</t>
  </si>
  <si>
    <t>Gravel beach not subject to erosion</t>
  </si>
  <si>
    <t>Composite (revetment with toe above the SWEL)</t>
  </si>
  <si>
    <t>Revetment with toe above SWEL. Composite slope used.</t>
  </si>
  <si>
    <t>None</t>
  </si>
  <si>
    <t>No</t>
  </si>
  <si>
    <t>Silty looking shoreline. Not sure if this transect is subject to erosion.</t>
  </si>
  <si>
    <t>not eroded</t>
  </si>
  <si>
    <t>Profile was eroded</t>
  </si>
  <si>
    <t>Adjusted toe of structure for TAW method to be valid. If RUNUP 2.0 is run, Runup is 3.65' and structure is not overtopped. Using TAW results</t>
  </si>
  <si>
    <t>Adjusted toe of structure for TAW method to be valid. If  RUNUP 2.0 is run, Runup is 3.65' and structure is not overtopped. Using TAW results</t>
  </si>
  <si>
    <t>Dropped toe of revetment / composite structure for TAW. If Runup 2.0 is used, Runup is 4.22' and structure is not overtopped. Using TAW results</t>
  </si>
  <si>
    <t>Structure not subject to typical failure because of bedrock and gravel below structure. Structure is above TWL so no change in WHAFIS from structure failure</t>
  </si>
  <si>
    <t>Not subject to typical failure. Structure will be adjusted in WHAFIS. Top of structure is above TWEL in WHAFIS, so little change would come of failing structure</t>
  </si>
  <si>
    <t>Failure would not be typical due gravel shoreline. Top of structure well above TWEL therefore failing it will not impact WHAFIS results</t>
  </si>
  <si>
    <t>Mapping comments</t>
  </si>
  <si>
    <t>Community Transect ID</t>
  </si>
  <si>
    <r>
      <t xml:space="preserve">Intact </t>
    </r>
    <r>
      <rPr>
        <b/>
        <sz val="10"/>
        <color theme="1"/>
        <rFont val="Arial"/>
        <family val="2"/>
      </rPr>
      <t>Toe</t>
    </r>
    <r>
      <rPr>
        <sz val="10"/>
        <color theme="1"/>
        <rFont val="Arial"/>
        <family val="2"/>
      </rPr>
      <t xml:space="preserve"> of Structure </t>
    </r>
    <r>
      <rPr>
        <b/>
        <sz val="10"/>
        <color theme="1"/>
        <rFont val="Arial"/>
        <family val="2"/>
      </rPr>
      <t>Elevation</t>
    </r>
    <r>
      <rPr>
        <sz val="10"/>
        <color theme="1"/>
        <rFont val="Arial"/>
        <family val="2"/>
      </rPr>
      <t xml:space="preserve"> (ft)</t>
    </r>
  </si>
  <si>
    <r>
      <t xml:space="preserve">Intact </t>
    </r>
    <r>
      <rPr>
        <b/>
        <sz val="10"/>
        <color theme="1"/>
        <rFont val="Arial"/>
        <family val="2"/>
      </rPr>
      <t>Top</t>
    </r>
    <r>
      <rPr>
        <sz val="10"/>
        <color theme="1"/>
        <rFont val="Arial"/>
        <family val="2"/>
      </rPr>
      <t xml:space="preserve"> of Structure </t>
    </r>
    <r>
      <rPr>
        <b/>
        <sz val="10"/>
        <color theme="1"/>
        <rFont val="Arial"/>
        <family val="2"/>
      </rPr>
      <t>Elevation</t>
    </r>
    <r>
      <rPr>
        <sz val="10"/>
        <color theme="1"/>
        <rFont val="Arial"/>
        <family val="2"/>
      </rPr>
      <t xml:space="preserve"> (ft)</t>
    </r>
  </si>
  <si>
    <r>
      <t xml:space="preserve">Intact </t>
    </r>
    <r>
      <rPr>
        <b/>
        <sz val="10"/>
        <color theme="1"/>
        <rFont val="Arial"/>
        <family val="2"/>
      </rPr>
      <t>Toe</t>
    </r>
    <r>
      <rPr>
        <sz val="10"/>
        <color theme="1"/>
        <rFont val="Arial"/>
        <family val="2"/>
      </rPr>
      <t xml:space="preserve"> </t>
    </r>
    <r>
      <rPr>
        <b/>
        <sz val="10"/>
        <color theme="1"/>
        <rFont val="Arial"/>
        <family val="2"/>
      </rPr>
      <t>Station</t>
    </r>
  </si>
  <si>
    <r>
      <t xml:space="preserve">Intact </t>
    </r>
    <r>
      <rPr>
        <b/>
        <sz val="10"/>
        <color theme="1"/>
        <rFont val="Arial"/>
        <family val="2"/>
      </rPr>
      <t>Top</t>
    </r>
    <r>
      <rPr>
        <sz val="10"/>
        <color theme="1"/>
        <rFont val="Arial"/>
        <family val="2"/>
      </rPr>
      <t xml:space="preserve"> </t>
    </r>
    <r>
      <rPr>
        <b/>
        <sz val="10"/>
        <color theme="1"/>
        <rFont val="Arial"/>
        <family val="2"/>
      </rPr>
      <t>Station</t>
    </r>
  </si>
  <si>
    <r>
      <t xml:space="preserve">Failed </t>
    </r>
    <r>
      <rPr>
        <b/>
        <sz val="10"/>
        <color theme="1"/>
        <rFont val="Arial"/>
        <family val="2"/>
      </rPr>
      <t>Top</t>
    </r>
    <r>
      <rPr>
        <sz val="10"/>
        <color theme="1"/>
        <rFont val="Arial"/>
        <family val="2"/>
      </rPr>
      <t xml:space="preserve"> </t>
    </r>
    <r>
      <rPr>
        <b/>
        <sz val="10"/>
        <color theme="1"/>
        <rFont val="Arial"/>
        <family val="2"/>
      </rPr>
      <t>Station</t>
    </r>
  </si>
  <si>
    <r>
      <t xml:space="preserve">Failed </t>
    </r>
    <r>
      <rPr>
        <b/>
        <sz val="10"/>
        <color theme="1"/>
        <rFont val="Arial"/>
        <family val="2"/>
      </rPr>
      <t>Top</t>
    </r>
    <r>
      <rPr>
        <sz val="10"/>
        <color theme="1"/>
        <rFont val="Arial"/>
        <family val="2"/>
      </rPr>
      <t xml:space="preserve"> </t>
    </r>
    <r>
      <rPr>
        <b/>
        <sz val="10"/>
        <color theme="1"/>
        <rFont val="Arial"/>
        <family val="2"/>
      </rPr>
      <t>Elevation</t>
    </r>
  </si>
  <si>
    <t>Casco Bay</t>
  </si>
  <si>
    <t>RUNUP 2.0 UNRELIABLE, TAW</t>
  </si>
  <si>
    <t>RUNUP 2.0, TAW INVALID</t>
  </si>
  <si>
    <t>Updated from Runup2.0 MapMod to using TAW. 4/1/2013</t>
  </si>
  <si>
    <t>Reengineering comments</t>
  </si>
  <si>
    <t xml:space="preserve">Sheltered.no change, the model Gerber used was not found in the submittal. The submitted results make sense. </t>
  </si>
  <si>
    <t>sheltered</t>
  </si>
  <si>
    <t>Open coast</t>
  </si>
  <si>
    <t>Sheltered</t>
  </si>
  <si>
    <t>Wave Period (sec)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</si>
</sst>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General_)"/>
    <numFmt numFmtId="166" formatCode="d\ mmm\ yy"/>
    <numFmt numFmtId="167" formatCode="0.0000"/>
    <numFmt numFmtId="168" formatCode="0.000000"/>
    <numFmt numFmtId="169" formatCode="0.00000"/>
  </numFmts>
  <fonts count="7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Book Antiqua"/>
      <family val="2"/>
    </font>
    <font>
      <sz val="10"/>
      <color theme="1"/>
      <name val="Arial"/>
      <family val="2"/>
    </font>
    <font>
      <sz val="10"/>
      <color theme="1"/>
      <name val="Arial"/>
      <family val="2"/>
    </font>
    <font>
      <sz val="10"/>
      <color theme="1"/>
      <name val="Book Antiqua"/>
      <family val="2"/>
    </font>
    <font>
      <sz val="10"/>
      <color theme="1"/>
      <name val="Book Antiqua"/>
      <family val="2"/>
    </font>
    <font>
      <sz val="10"/>
      <color theme="1"/>
      <name val="Arial"/>
      <family val="2"/>
    </font>
    <font>
      <sz val="10"/>
      <color theme="1"/>
      <name val="Book Antiqua"/>
      <family val="1"/>
    </font>
    <font>
      <b/>
      <sz val="10"/>
      <name val="Book Antiqua"/>
      <family val="1"/>
    </font>
    <font>
      <sz val="10"/>
      <name val="Book Antiqua"/>
      <family val="1"/>
    </font>
    <font>
      <sz val="10"/>
      <color indexed="12"/>
      <name val="Book Antiqua"/>
      <family val="1"/>
    </font>
    <font>
      <b/>
      <sz val="10"/>
      <color rgb="FF462D06"/>
      <name val="Book Antiqua"/>
      <family val="1"/>
    </font>
    <font>
      <u/>
      <sz val="10"/>
      <name val="Book Antiqua"/>
      <family val="1"/>
    </font>
    <font>
      <b/>
      <sz val="10"/>
      <color theme="1"/>
      <name val="Book Antiqua"/>
      <family val="1"/>
    </font>
    <font>
      <i/>
      <sz val="10"/>
      <color theme="1"/>
      <name val="Book Antiqua"/>
      <family val="1"/>
    </font>
    <font>
      <b/>
      <sz val="11"/>
      <color theme="1"/>
      <name val="Calibri"/>
      <family val="2"/>
      <scheme val="minor"/>
    </font>
    <font>
      <sz val="8"/>
      <color indexed="81"/>
      <name val="Tahoma"/>
      <family val="2"/>
    </font>
    <font>
      <b/>
      <sz val="8"/>
      <color indexed="81"/>
      <name val="Tahoma"/>
      <family val="2"/>
    </font>
    <font>
      <vertAlign val="subscript"/>
      <sz val="10"/>
      <color theme="1"/>
      <name val="Arial"/>
      <family val="2"/>
    </font>
    <font>
      <sz val="10"/>
      <color rgb="FFFF0000"/>
      <name val="Arial"/>
      <family val="2"/>
    </font>
    <font>
      <i/>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Arial"/>
      <family val="2"/>
    </font>
    <font>
      <sz val="10"/>
      <color rgb="FF9C0006"/>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s>
  <fills count="39">
    <fill>
      <patternFill patternType="none"/>
    </fill>
    <fill>
      <patternFill patternType="gray125"/>
    </fill>
    <fill>
      <patternFill patternType="solid">
        <fgColor theme="9"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s>
  <borders count="33">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11">
    <xf numFmtId="0" fontId="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35" fillId="0" borderId="0"/>
    <xf numFmtId="0" fontId="41" fillId="0" borderId="0" applyNumberFormat="0" applyFill="0" applyBorder="0" applyAlignment="0" applyProtection="0"/>
    <xf numFmtId="0" fontId="42" fillId="0" borderId="24" applyNumberFormat="0" applyFill="0" applyAlignment="0" applyProtection="0"/>
    <xf numFmtId="0" fontId="43" fillId="0" borderId="25" applyNumberFormat="0" applyFill="0" applyAlignment="0" applyProtection="0"/>
    <xf numFmtId="0" fontId="44" fillId="0" borderId="26" applyNumberFormat="0" applyFill="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27" applyNumberFormat="0" applyAlignment="0" applyProtection="0"/>
    <xf numFmtId="0" fontId="49" fillId="11" borderId="28" applyNumberFormat="0" applyAlignment="0" applyProtection="0"/>
    <xf numFmtId="0" fontId="50" fillId="11" borderId="27" applyNumberFormat="0" applyAlignment="0" applyProtection="0"/>
    <xf numFmtId="0" fontId="51" fillId="0" borderId="29" applyNumberFormat="0" applyFill="0" applyAlignment="0" applyProtection="0"/>
    <xf numFmtId="0" fontId="52" fillId="12" borderId="30" applyNumberFormat="0" applyAlignment="0" applyProtection="0"/>
    <xf numFmtId="0" fontId="53" fillId="0" borderId="0" applyNumberFormat="0" applyFill="0" applyBorder="0" applyAlignment="0" applyProtection="0"/>
    <xf numFmtId="0" fontId="40" fillId="13" borderId="31" applyNumberFormat="0" applyFont="0" applyAlignment="0" applyProtection="0"/>
    <xf numFmtId="0" fontId="54" fillId="0" borderId="0" applyNumberFormat="0" applyFill="0" applyBorder="0" applyAlignment="0" applyProtection="0"/>
    <xf numFmtId="0" fontId="28" fillId="0" borderId="32" applyNumberFormat="0" applyFill="0" applyAlignment="0" applyProtection="0"/>
    <xf numFmtId="0" fontId="55"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55" fillId="3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24" applyNumberFormat="0" applyFill="0" applyAlignment="0" applyProtection="0"/>
    <xf numFmtId="0" fontId="59" fillId="0" borderId="25" applyNumberFormat="0" applyFill="0" applyAlignment="0" applyProtection="0"/>
    <xf numFmtId="0" fontId="60" fillId="0" borderId="26" applyNumberFormat="0" applyFill="0" applyAlignment="0" applyProtection="0"/>
    <xf numFmtId="0" fontId="60" fillId="0" borderId="0" applyNumberFormat="0" applyFill="0" applyBorder="0" applyAlignment="0" applyProtection="0"/>
    <xf numFmtId="0" fontId="61" fillId="7" borderId="0" applyNumberFormat="0" applyBorder="0" applyAlignment="0" applyProtection="0"/>
    <xf numFmtId="0" fontId="57" fillId="8" borderId="0" applyNumberFormat="0" applyBorder="0" applyAlignment="0" applyProtection="0"/>
    <xf numFmtId="0" fontId="62" fillId="9" borderId="0" applyNumberFormat="0" applyBorder="0" applyAlignment="0" applyProtection="0"/>
    <xf numFmtId="0" fontId="63" fillId="10" borderId="27" applyNumberFormat="0" applyAlignment="0" applyProtection="0"/>
    <xf numFmtId="0" fontId="64" fillId="11" borderId="28" applyNumberFormat="0" applyAlignment="0" applyProtection="0"/>
    <xf numFmtId="0" fontId="65" fillId="11" borderId="27" applyNumberFormat="0" applyAlignment="0" applyProtection="0"/>
    <xf numFmtId="0" fontId="66" fillId="0" borderId="29" applyNumberFormat="0" applyFill="0" applyAlignment="0" applyProtection="0"/>
    <xf numFmtId="0" fontId="67" fillId="12" borderId="30" applyNumberFormat="0" applyAlignment="0" applyProtection="0"/>
    <xf numFmtId="0" fontId="32" fillId="0" borderId="0" applyNumberFormat="0" applyFill="0" applyBorder="0" applyAlignment="0" applyProtection="0"/>
    <xf numFmtId="0" fontId="68" fillId="0" borderId="0" applyNumberFormat="0" applyFill="0" applyBorder="0" applyAlignment="0" applyProtection="0"/>
    <xf numFmtId="0" fontId="69" fillId="0" borderId="32" applyNumberFormat="0" applyFill="0" applyAlignment="0" applyProtection="0"/>
    <xf numFmtId="0" fontId="70"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70"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16" borderId="0" applyNumberFormat="0" applyBorder="0" applyAlignment="0" applyProtection="0"/>
    <xf numFmtId="0" fontId="2" fillId="0" borderId="0"/>
    <xf numFmtId="43" fontId="40" fillId="0" borderId="0" applyFont="0" applyFill="0" applyBorder="0" applyAlignment="0" applyProtection="0"/>
    <xf numFmtId="0" fontId="2" fillId="0" borderId="0"/>
    <xf numFmtId="0" fontId="2" fillId="0" borderId="0"/>
    <xf numFmtId="0" fontId="2" fillId="0" borderId="0"/>
    <xf numFmtId="0" fontId="2" fillId="0" borderId="0"/>
    <xf numFmtId="0" fontId="2" fillId="13" borderId="31" applyNumberFormat="0" applyFont="0" applyAlignment="0" applyProtection="0"/>
    <xf numFmtId="0" fontId="40" fillId="16" borderId="0" applyNumberFormat="0" applyBorder="0" applyAlignment="0" applyProtection="0"/>
    <xf numFmtId="43" fontId="40" fillId="0" borderId="0" applyFont="0" applyFill="0" applyBorder="0" applyAlignment="0" applyProtection="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2" fillId="0" borderId="0"/>
    <xf numFmtId="0" fontId="40" fillId="0" borderId="0"/>
    <xf numFmtId="0" fontId="40" fillId="16" borderId="0" applyNumberFormat="0" applyBorder="0" applyAlignment="0" applyProtection="0"/>
    <xf numFmtId="43" fontId="40" fillId="0" borderId="0" applyFont="0" applyFill="0" applyBorder="0" applyAlignment="0" applyProtection="0"/>
    <xf numFmtId="0" fontId="2" fillId="0" borderId="0"/>
    <xf numFmtId="0" fontId="40" fillId="16" borderId="0" applyNumberFormat="0" applyBorder="0" applyAlignment="0" applyProtection="0"/>
    <xf numFmtId="43" fontId="40"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13" borderId="31" applyNumberFormat="0" applyFont="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4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cellStyleXfs>
  <cellXfs count="289">
    <xf numFmtId="0" fontId="0" fillId="0" borderId="0" xfId="0"/>
    <xf numFmtId="0" fontId="21" fillId="0" borderId="0" xfId="0" applyFont="1"/>
    <xf numFmtId="0" fontId="22" fillId="0" borderId="0" xfId="0" applyFont="1"/>
    <xf numFmtId="165" fontId="21" fillId="0" borderId="0" xfId="0" applyNumberFormat="1" applyFont="1" applyAlignment="1" applyProtection="1">
      <alignment horizontal="left"/>
    </xf>
    <xf numFmtId="165" fontId="23" fillId="0" borderId="20" xfId="0" applyNumberFormat="1" applyFont="1" applyBorder="1" applyAlignment="1" applyProtection="1">
      <alignment horizontal="center"/>
    </xf>
    <xf numFmtId="0" fontId="24" fillId="0" borderId="0" xfId="0" applyFont="1"/>
    <xf numFmtId="165" fontId="23" fillId="0" borderId="21" xfId="0" applyNumberFormat="1" applyFont="1" applyBorder="1" applyAlignment="1" applyProtection="1">
      <alignment horizontal="left"/>
    </xf>
    <xf numFmtId="0" fontId="23" fillId="0" borderId="20" xfId="0" applyFont="1" applyBorder="1"/>
    <xf numFmtId="0" fontId="20" fillId="0" borderId="20" xfId="0" applyFont="1" applyBorder="1"/>
    <xf numFmtId="0" fontId="25" fillId="0" borderId="0" xfId="0" applyFont="1" applyBorder="1"/>
    <xf numFmtId="166" fontId="23" fillId="0" borderId="21" xfId="0" applyNumberFormat="1" applyFont="1" applyBorder="1" applyAlignment="1" applyProtection="1">
      <alignment horizontal="left"/>
    </xf>
    <xf numFmtId="0" fontId="23" fillId="0" borderId="21" xfId="0" applyFont="1" applyBorder="1"/>
    <xf numFmtId="165" fontId="20" fillId="0" borderId="21" xfId="0" applyNumberFormat="1" applyFont="1" applyBorder="1" applyAlignment="1" applyProtection="1">
      <alignment horizontal="left"/>
    </xf>
    <xf numFmtId="0" fontId="20" fillId="0" borderId="21" xfId="0" applyFont="1" applyBorder="1"/>
    <xf numFmtId="0" fontId="20" fillId="0" borderId="0" xfId="0" applyFont="1" applyBorder="1"/>
    <xf numFmtId="0" fontId="27" fillId="0" borderId="0" xfId="0" applyFont="1"/>
    <xf numFmtId="164" fontId="19" fillId="2" borderId="13" xfId="0" applyNumberFormat="1" applyFont="1" applyFill="1" applyBorder="1" applyAlignment="1">
      <alignment horizontal="center" vertical="center" wrapText="1"/>
    </xf>
    <xf numFmtId="164" fontId="19" fillId="0" borderId="13" xfId="0" applyNumberFormat="1" applyFont="1" applyBorder="1" applyAlignment="1">
      <alignment horizontal="center" vertical="center" wrapText="1"/>
    </xf>
    <xf numFmtId="164" fontId="19" fillId="0" borderId="0" xfId="0" applyNumberFormat="1" applyFont="1" applyBorder="1" applyAlignment="1">
      <alignment horizontal="center" vertical="center"/>
    </xf>
    <xf numFmtId="164" fontId="19" fillId="0" borderId="6" xfId="0" applyNumberFormat="1" applyFont="1" applyBorder="1" applyAlignment="1">
      <alignment horizontal="center" vertical="center" wrapText="1"/>
    </xf>
    <xf numFmtId="164" fontId="19" fillId="0" borderId="2" xfId="0" applyNumberFormat="1" applyFont="1" applyBorder="1" applyAlignment="1">
      <alignment horizontal="center" vertical="center" wrapText="1"/>
    </xf>
    <xf numFmtId="164" fontId="19" fillId="0" borderId="12" xfId="0" applyNumberFormat="1" applyFont="1" applyBorder="1" applyAlignment="1">
      <alignment horizontal="center" vertical="center" wrapText="1"/>
    </xf>
    <xf numFmtId="164" fontId="19" fillId="0" borderId="2" xfId="0" applyNumberFormat="1" applyFont="1" applyBorder="1" applyAlignment="1">
      <alignment horizontal="center" vertical="center"/>
    </xf>
    <xf numFmtId="164" fontId="19" fillId="2" borderId="2" xfId="0" applyNumberFormat="1" applyFont="1" applyFill="1" applyBorder="1" applyAlignment="1">
      <alignment horizontal="center" vertical="center" wrapText="1"/>
    </xf>
    <xf numFmtId="164" fontId="19" fillId="0" borderId="14" xfId="0" applyNumberFormat="1" applyFont="1" applyBorder="1" applyAlignment="1">
      <alignment horizontal="center" vertical="center"/>
    </xf>
    <xf numFmtId="164" fontId="19" fillId="0" borderId="14" xfId="0" applyNumberFormat="1" applyFont="1" applyBorder="1" applyAlignment="1">
      <alignment horizontal="center" vertical="center" wrapText="1"/>
    </xf>
    <xf numFmtId="164" fontId="19" fillId="0" borderId="11" xfId="0" applyNumberFormat="1" applyFont="1" applyBorder="1" applyAlignment="1">
      <alignment horizontal="center" vertical="center" wrapText="1"/>
    </xf>
    <xf numFmtId="164" fontId="19" fillId="3" borderId="17" xfId="0" applyNumberFormat="1" applyFont="1" applyFill="1" applyBorder="1" applyAlignment="1">
      <alignment horizontal="center" vertical="center" wrapText="1"/>
    </xf>
    <xf numFmtId="164" fontId="19" fillId="0" borderId="10" xfId="0" applyNumberFormat="1" applyFont="1" applyBorder="1" applyAlignment="1">
      <alignment horizontal="center" vertical="center" wrapText="1"/>
    </xf>
    <xf numFmtId="164" fontId="19" fillId="2" borderId="14" xfId="0" applyNumberFormat="1" applyFont="1" applyFill="1" applyBorder="1" applyAlignment="1">
      <alignment horizontal="center" vertical="center" wrapText="1"/>
    </xf>
    <xf numFmtId="164" fontId="19" fillId="2" borderId="15" xfId="0" applyNumberFormat="1" applyFont="1" applyFill="1" applyBorder="1" applyAlignment="1">
      <alignment horizontal="center" vertical="center" wrapText="1"/>
    </xf>
    <xf numFmtId="164" fontId="19" fillId="0" borderId="14" xfId="0" applyNumberFormat="1" applyFont="1" applyFill="1" applyBorder="1" applyAlignment="1">
      <alignment horizontal="center" vertical="center" wrapText="1"/>
    </xf>
    <xf numFmtId="164" fontId="19" fillId="0" borderId="17" xfId="0" applyNumberFormat="1" applyFont="1" applyFill="1" applyBorder="1" applyAlignment="1">
      <alignment horizontal="center" vertical="center" wrapText="1"/>
    </xf>
    <xf numFmtId="164" fontId="19" fillId="0" borderId="15" xfId="0" applyNumberFormat="1" applyFont="1" applyFill="1" applyBorder="1" applyAlignment="1">
      <alignment horizontal="center" vertical="center" wrapText="1"/>
    </xf>
    <xf numFmtId="164" fontId="19" fillId="0" borderId="12" xfId="0" applyNumberFormat="1" applyFont="1" applyFill="1" applyBorder="1" applyAlignment="1">
      <alignment horizontal="center" vertical="center" wrapText="1"/>
    </xf>
    <xf numFmtId="164" fontId="19" fillId="0" borderId="18" xfId="0" applyNumberFormat="1" applyFont="1" applyFill="1" applyBorder="1" applyAlignment="1">
      <alignment horizontal="center" vertical="center" wrapText="1"/>
    </xf>
    <xf numFmtId="164" fontId="19" fillId="0" borderId="18" xfId="0" applyNumberFormat="1" applyFont="1" applyBorder="1" applyAlignment="1">
      <alignment horizontal="center" vertical="center" wrapText="1"/>
    </xf>
    <xf numFmtId="164" fontId="19" fillId="0" borderId="7" xfId="0" applyNumberFormat="1" applyFont="1" applyBorder="1" applyAlignment="1">
      <alignment horizontal="center" vertical="center" wrapText="1"/>
    </xf>
    <xf numFmtId="164" fontId="19" fillId="0" borderId="13" xfId="0" applyNumberFormat="1" applyFont="1" applyBorder="1" applyAlignment="1">
      <alignment horizontal="center" vertical="center"/>
    </xf>
    <xf numFmtId="164" fontId="19" fillId="0" borderId="7" xfId="0" applyNumberFormat="1" applyFont="1" applyBorder="1" applyAlignment="1">
      <alignment horizontal="center" vertical="center"/>
    </xf>
    <xf numFmtId="164" fontId="19" fillId="2" borderId="6" xfId="0" applyNumberFormat="1" applyFont="1" applyFill="1" applyBorder="1" applyAlignment="1">
      <alignment horizontal="center" vertical="center" wrapText="1"/>
    </xf>
    <xf numFmtId="164" fontId="19" fillId="2" borderId="7" xfId="0" applyNumberFormat="1" applyFont="1" applyFill="1" applyBorder="1" applyAlignment="1">
      <alignment horizontal="center" vertical="center" wrapText="1"/>
    </xf>
    <xf numFmtId="164" fontId="19" fillId="2" borderId="0" xfId="0" applyNumberFormat="1" applyFont="1" applyFill="1" applyBorder="1" applyAlignment="1">
      <alignment horizontal="center" vertical="center" wrapText="1"/>
    </xf>
    <xf numFmtId="164" fontId="19" fillId="0" borderId="6" xfId="0" applyNumberFormat="1" applyFont="1" applyFill="1" applyBorder="1" applyAlignment="1">
      <alignment horizontal="center" vertical="center" wrapText="1"/>
    </xf>
    <xf numFmtId="164" fontId="19" fillId="0" borderId="0"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164" fontId="19" fillId="0" borderId="13" xfId="0" applyNumberFormat="1" applyFont="1" applyFill="1" applyBorder="1" applyAlignment="1">
      <alignment horizontal="center" vertical="center"/>
    </xf>
    <xf numFmtId="164" fontId="19" fillId="0" borderId="13" xfId="1" applyNumberFormat="1" applyFont="1" applyBorder="1" applyAlignment="1">
      <alignment horizontal="center" vertical="center"/>
    </xf>
    <xf numFmtId="164" fontId="19" fillId="0" borderId="0" xfId="0" applyNumberFormat="1" applyFont="1" applyAlignment="1">
      <alignment horizontal="center" vertical="center"/>
    </xf>
    <xf numFmtId="0" fontId="19" fillId="0" borderId="0" xfId="0" applyFont="1"/>
    <xf numFmtId="164" fontId="19" fillId="0" borderId="1" xfId="0" applyNumberFormat="1" applyFont="1" applyBorder="1" applyAlignment="1">
      <alignment horizontal="center" vertical="center" wrapText="1"/>
    </xf>
    <xf numFmtId="164" fontId="19" fillId="0" borderId="6" xfId="0" applyNumberFormat="1" applyFont="1" applyBorder="1" applyAlignment="1">
      <alignment horizontal="center" vertical="center"/>
    </xf>
    <xf numFmtId="164" fontId="19" fillId="0" borderId="0" xfId="0" applyNumberFormat="1" applyFont="1" applyFill="1" applyBorder="1" applyAlignment="1">
      <alignment horizontal="center" vertical="center"/>
    </xf>
    <xf numFmtId="164" fontId="33" fillId="0" borderId="7" xfId="0" applyNumberFormat="1" applyFont="1" applyFill="1" applyBorder="1" applyAlignment="1">
      <alignment horizontal="center" vertical="center"/>
    </xf>
    <xf numFmtId="164" fontId="19" fillId="0" borderId="6" xfId="0" applyNumberFormat="1" applyFont="1" applyFill="1" applyBorder="1" applyAlignment="1">
      <alignment horizontal="center" vertical="center"/>
    </xf>
    <xf numFmtId="164" fontId="19" fillId="0" borderId="7" xfId="0" applyNumberFormat="1" applyFont="1" applyFill="1" applyBorder="1" applyAlignment="1">
      <alignment horizontal="center" vertical="center"/>
    </xf>
    <xf numFmtId="0" fontId="19" fillId="0" borderId="0" xfId="0" applyFont="1" applyBorder="1"/>
    <xf numFmtId="0" fontId="19" fillId="0" borderId="6" xfId="0" applyFont="1" applyBorder="1"/>
    <xf numFmtId="0" fontId="19" fillId="0" borderId="7" xfId="0" applyFont="1" applyBorder="1"/>
    <xf numFmtId="0" fontId="19" fillId="0" borderId="13" xfId="0" applyFont="1" applyBorder="1"/>
    <xf numFmtId="164" fontId="15" fillId="0" borderId="0" xfId="0" applyNumberFormat="1" applyFont="1" applyBorder="1" applyAlignment="1">
      <alignment horizontal="center" vertical="center" wrapText="1"/>
    </xf>
    <xf numFmtId="164" fontId="15" fillId="3" borderId="0" xfId="0" applyNumberFormat="1" applyFont="1" applyFill="1" applyBorder="1" applyAlignment="1">
      <alignment horizontal="center" vertical="center" wrapText="1"/>
    </xf>
    <xf numFmtId="0" fontId="20" fillId="0" borderId="0" xfId="0" applyFont="1"/>
    <xf numFmtId="164" fontId="15" fillId="0" borderId="0" xfId="0" applyNumberFormat="1" applyFont="1" applyFill="1" applyBorder="1" applyAlignment="1">
      <alignment horizontal="center" vertical="center"/>
    </xf>
    <xf numFmtId="168" fontId="19" fillId="0" borderId="0" xfId="0" applyNumberFormat="1" applyFont="1" applyBorder="1"/>
    <xf numFmtId="168" fontId="19" fillId="0" borderId="11" xfId="0" applyNumberFormat="1" applyFont="1" applyBorder="1" applyAlignment="1">
      <alignment horizontal="center" vertical="center" wrapText="1"/>
    </xf>
    <xf numFmtId="164" fontId="15" fillId="0" borderId="0" xfId="0" applyNumberFormat="1" applyFont="1" applyFill="1" applyBorder="1" applyAlignment="1">
      <alignment horizontal="left" vertical="center"/>
    </xf>
    <xf numFmtId="164" fontId="13" fillId="3" borderId="0" xfId="0" applyNumberFormat="1" applyFont="1" applyFill="1" applyBorder="1" applyAlignment="1">
      <alignment horizontal="center" vertical="center" wrapText="1"/>
    </xf>
    <xf numFmtId="164" fontId="13" fillId="0" borderId="0" xfId="0" applyNumberFormat="1" applyFont="1" applyFill="1" applyBorder="1" applyAlignment="1">
      <alignment horizontal="left" vertical="center"/>
    </xf>
    <xf numFmtId="164" fontId="12" fillId="2" borderId="0" xfId="0" applyNumberFormat="1" applyFont="1" applyFill="1" applyBorder="1" applyAlignment="1">
      <alignment horizontal="center" vertical="center" wrapText="1"/>
    </xf>
    <xf numFmtId="164" fontId="12" fillId="2" borderId="13" xfId="0" applyNumberFormat="1" applyFont="1" applyFill="1" applyBorder="1" applyAlignment="1">
      <alignment horizontal="center" vertical="center" wrapText="1"/>
    </xf>
    <xf numFmtId="164" fontId="12" fillId="0" borderId="6" xfId="0" applyNumberFormat="1"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164" fontId="34" fillId="0" borderId="0" xfId="0" applyNumberFormat="1" applyFont="1" applyFill="1" applyBorder="1" applyAlignment="1">
      <alignment horizontal="left" vertical="center"/>
    </xf>
    <xf numFmtId="164" fontId="34" fillId="3" borderId="0" xfId="0" applyNumberFormat="1" applyFont="1" applyFill="1" applyBorder="1" applyAlignment="1">
      <alignment horizontal="center" vertical="center" wrapText="1"/>
    </xf>
    <xf numFmtId="164" fontId="35" fillId="0" borderId="13" xfId="0" applyNumberFormat="1" applyFont="1" applyBorder="1" applyAlignment="1">
      <alignment horizontal="center" vertical="center" wrapText="1"/>
    </xf>
    <xf numFmtId="164" fontId="34" fillId="2" borderId="13" xfId="0" applyNumberFormat="1" applyFont="1" applyFill="1" applyBorder="1" applyAlignment="1">
      <alignment horizontal="center" vertical="center" wrapText="1"/>
    </xf>
    <xf numFmtId="164" fontId="12" fillId="0" borderId="13" xfId="0" applyNumberFormat="1" applyFont="1" applyFill="1" applyBorder="1" applyAlignment="1">
      <alignment horizontal="center" vertical="center"/>
    </xf>
    <xf numFmtId="164" fontId="12" fillId="0" borderId="0" xfId="0" applyNumberFormat="1" applyFont="1" applyFill="1" applyBorder="1" applyAlignment="1">
      <alignment horizontal="center" vertical="center"/>
    </xf>
    <xf numFmtId="167" fontId="19" fillId="0" borderId="0" xfId="0" applyNumberFormat="1" applyFont="1" applyBorder="1" applyAlignment="1">
      <alignment horizontal="center" wrapText="1"/>
    </xf>
    <xf numFmtId="167" fontId="19" fillId="0" borderId="0" xfId="0" applyNumberFormat="1" applyFont="1" applyFill="1" applyBorder="1" applyAlignment="1">
      <alignment horizontal="center" wrapText="1"/>
    </xf>
    <xf numFmtId="167" fontId="19" fillId="0" borderId="0" xfId="0" applyNumberFormat="1" applyFont="1" applyBorder="1" applyAlignment="1">
      <alignment horizontal="center"/>
    </xf>
    <xf numFmtId="164" fontId="12" fillId="2" borderId="7" xfId="0" applyNumberFormat="1" applyFont="1" applyFill="1" applyBorder="1" applyAlignment="1">
      <alignment horizontal="center" vertical="center" wrapText="1"/>
    </xf>
    <xf numFmtId="164" fontId="19" fillId="0" borderId="0" xfId="0" applyNumberFormat="1" applyFont="1" applyBorder="1" applyAlignment="1">
      <alignment horizontal="center" vertical="center" wrapText="1"/>
    </xf>
    <xf numFmtId="164" fontId="16" fillId="0" borderId="2" xfId="0" applyNumberFormat="1" applyFont="1" applyFill="1" applyBorder="1" applyAlignment="1">
      <alignment horizontal="center" vertical="center" wrapText="1"/>
    </xf>
    <xf numFmtId="164" fontId="12" fillId="0" borderId="6" xfId="0" applyNumberFormat="1" applyFont="1" applyFill="1" applyBorder="1" applyAlignment="1">
      <alignment horizontal="center" vertical="center"/>
    </xf>
    <xf numFmtId="164" fontId="12" fillId="0" borderId="0" xfId="0" applyNumberFormat="1" applyFont="1" applyBorder="1" applyAlignment="1">
      <alignment horizontal="left" vertical="center"/>
    </xf>
    <xf numFmtId="164" fontId="19" fillId="0" borderId="0" xfId="0" applyNumberFormat="1" applyFont="1" applyBorder="1" applyAlignment="1">
      <alignment horizontal="left" vertical="center"/>
    </xf>
    <xf numFmtId="164" fontId="12" fillId="0" borderId="0" xfId="0" applyNumberFormat="1" applyFont="1" applyFill="1" applyBorder="1" applyAlignment="1">
      <alignment horizontal="left" vertical="center"/>
    </xf>
    <xf numFmtId="164" fontId="19" fillId="0" borderId="18" xfId="0" applyNumberFormat="1" applyFont="1" applyBorder="1" applyAlignment="1">
      <alignment horizontal="center" vertical="center"/>
    </xf>
    <xf numFmtId="164" fontId="19" fillId="2" borderId="18" xfId="0" applyNumberFormat="1" applyFont="1" applyFill="1" applyBorder="1" applyAlignment="1">
      <alignment horizontal="center" vertical="center" wrapText="1"/>
    </xf>
    <xf numFmtId="164" fontId="15" fillId="3" borderId="18" xfId="0" applyNumberFormat="1" applyFont="1" applyFill="1" applyBorder="1" applyAlignment="1">
      <alignment horizontal="center" vertical="center" wrapText="1"/>
    </xf>
    <xf numFmtId="164" fontId="35" fillId="0" borderId="0" xfId="27" applyNumberFormat="1" applyAlignment="1">
      <alignment horizontal="center" vertical="center"/>
    </xf>
    <xf numFmtId="164" fontId="35" fillId="0" borderId="0" xfId="27" applyNumberFormat="1" applyBorder="1" applyAlignment="1">
      <alignment horizontal="center" vertical="center"/>
    </xf>
    <xf numFmtId="2" fontId="19" fillId="2" borderId="13" xfId="0" applyNumberFormat="1" applyFont="1" applyFill="1" applyBorder="1" applyAlignment="1">
      <alignment horizontal="center" vertical="center" wrapText="1"/>
    </xf>
    <xf numFmtId="2" fontId="16" fillId="2" borderId="2" xfId="0" applyNumberFormat="1" applyFont="1" applyFill="1" applyBorder="1" applyAlignment="1">
      <alignment horizontal="center" vertical="center" wrapText="1"/>
    </xf>
    <xf numFmtId="2" fontId="19" fillId="0" borderId="13" xfId="0" applyNumberFormat="1" applyFont="1" applyBorder="1"/>
    <xf numFmtId="164" fontId="11" fillId="0" borderId="0" xfId="0" applyNumberFormat="1" applyFont="1" applyFill="1" applyBorder="1" applyAlignment="1">
      <alignment horizontal="center" vertical="center"/>
    </xf>
    <xf numFmtId="0" fontId="26" fillId="0" borderId="0" xfId="0" applyFont="1" applyAlignment="1">
      <alignment horizontal="center"/>
    </xf>
    <xf numFmtId="164" fontId="11" fillId="0" borderId="0" xfId="0" applyNumberFormat="1" applyFont="1" applyBorder="1" applyAlignment="1">
      <alignment horizontal="left" vertical="center"/>
    </xf>
    <xf numFmtId="164" fontId="39" fillId="0" borderId="6" xfId="0" applyNumberFormat="1" applyFont="1" applyFill="1" applyBorder="1" applyAlignment="1">
      <alignment horizontal="center" vertical="center" wrapText="1"/>
    </xf>
    <xf numFmtId="164" fontId="39" fillId="2" borderId="0" xfId="0" applyNumberFormat="1" applyFont="1" applyFill="1" applyBorder="1" applyAlignment="1">
      <alignment horizontal="center" vertical="center" wrapText="1"/>
    </xf>
    <xf numFmtId="164" fontId="39" fillId="2" borderId="0" xfId="0" applyNumberFormat="1" applyFont="1" applyFill="1" applyBorder="1" applyAlignment="1">
      <alignment horizontal="center" vertical="center"/>
    </xf>
    <xf numFmtId="164" fontId="39" fillId="0" borderId="0" xfId="0" applyNumberFormat="1" applyFont="1" applyFill="1" applyBorder="1" applyAlignment="1">
      <alignment horizontal="center" vertical="center" wrapText="1"/>
    </xf>
    <xf numFmtId="164" fontId="39" fillId="0" borderId="0" xfId="0" applyNumberFormat="1" applyFont="1" applyFill="1" applyBorder="1" applyAlignment="1">
      <alignment horizontal="left" vertical="center"/>
    </xf>
    <xf numFmtId="164" fontId="39" fillId="0" borderId="0" xfId="0" applyNumberFormat="1" applyFont="1" applyBorder="1" applyAlignment="1">
      <alignment horizontal="left" vertical="center"/>
    </xf>
    <xf numFmtId="164" fontId="12" fillId="2" borderId="0" xfId="0" applyNumberFormat="1" applyFont="1" applyFill="1" applyBorder="1" applyAlignment="1">
      <alignment horizontal="left" vertical="center"/>
    </xf>
    <xf numFmtId="164" fontId="39" fillId="2" borderId="13" xfId="0" applyNumberFormat="1" applyFont="1" applyFill="1" applyBorder="1" applyAlignment="1">
      <alignment horizontal="center" vertical="center" wrapText="1"/>
    </xf>
    <xf numFmtId="164" fontId="39" fillId="0" borderId="13" xfId="0" applyNumberFormat="1" applyFont="1" applyFill="1" applyBorder="1" applyAlignment="1">
      <alignment horizontal="center" vertical="center"/>
    </xf>
    <xf numFmtId="164" fontId="19" fillId="0" borderId="18" xfId="0" applyNumberFormat="1" applyFont="1" applyFill="1" applyBorder="1" applyAlignment="1">
      <alignment horizontal="center" vertical="center"/>
    </xf>
    <xf numFmtId="164" fontId="11" fillId="0" borderId="13" xfId="0" applyNumberFormat="1" applyFont="1" applyFill="1" applyBorder="1" applyAlignment="1">
      <alignment horizontal="center" vertical="center"/>
    </xf>
    <xf numFmtId="164" fontId="11" fillId="0" borderId="6" xfId="0" applyNumberFormat="1" applyFont="1" applyFill="1" applyBorder="1" applyAlignment="1">
      <alignment horizontal="center" vertical="center"/>
    </xf>
    <xf numFmtId="0" fontId="26" fillId="0" borderId="0" xfId="0" applyFont="1" applyAlignment="1">
      <alignment horizontal="right" vertical="center" wrapText="1"/>
    </xf>
    <xf numFmtId="0" fontId="26" fillId="0" borderId="0" xfId="0" applyFont="1" applyAlignment="1">
      <alignment horizontal="right" vertical="center"/>
    </xf>
    <xf numFmtId="0" fontId="26" fillId="0" borderId="0" xfId="0" applyFont="1" applyAlignment="1">
      <alignment horizontal="right" vertical="center" wrapText="1"/>
    </xf>
    <xf numFmtId="0" fontId="20" fillId="0" borderId="0" xfId="0" applyFont="1" applyAlignment="1"/>
    <xf numFmtId="0" fontId="20" fillId="0" borderId="0" xfId="0" applyFont="1" applyAlignment="1">
      <alignment horizontal="right" vertical="center"/>
    </xf>
    <xf numFmtId="0" fontId="26" fillId="0" borderId="0" xfId="0" applyFont="1"/>
    <xf numFmtId="0" fontId="20" fillId="0" borderId="0" xfId="0" applyFont="1" applyAlignment="1">
      <alignment horizontal="right"/>
    </xf>
    <xf numFmtId="2" fontId="20" fillId="0" borderId="0" xfId="0" applyNumberFormat="1" applyFont="1"/>
    <xf numFmtId="0" fontId="19" fillId="0" borderId="0" xfId="0" applyFont="1" applyBorder="1" applyAlignment="1">
      <alignment horizontal="center" vertical="center"/>
    </xf>
    <xf numFmtId="164" fontId="10" fillId="0" borderId="0" xfId="0" applyNumberFormat="1" applyFont="1" applyFill="1" applyBorder="1" applyAlignment="1">
      <alignment horizontal="center" vertical="center"/>
    </xf>
    <xf numFmtId="164" fontId="10" fillId="0" borderId="6" xfId="0" applyNumberFormat="1" applyFont="1" applyFill="1" applyBorder="1" applyAlignment="1">
      <alignment horizontal="center" vertical="center"/>
    </xf>
    <xf numFmtId="164" fontId="10" fillId="0" borderId="13" xfId="0" applyNumberFormat="1" applyFont="1" applyFill="1" applyBorder="1" applyAlignment="1">
      <alignment horizontal="center" vertical="center"/>
    </xf>
    <xf numFmtId="164" fontId="9" fillId="2" borderId="18" xfId="0" applyNumberFormat="1" applyFont="1" applyFill="1" applyBorder="1" applyAlignment="1">
      <alignment horizontal="center" vertical="center" wrapText="1"/>
    </xf>
    <xf numFmtId="164" fontId="9" fillId="0" borderId="18" xfId="0" applyNumberFormat="1" applyFont="1" applyFill="1" applyBorder="1" applyAlignment="1">
      <alignment horizontal="center" vertical="center" wrapText="1"/>
    </xf>
    <xf numFmtId="164" fontId="19" fillId="0" borderId="18" xfId="0" applyNumberFormat="1" applyFont="1" applyFill="1" applyBorder="1" applyAlignment="1">
      <alignment horizontal="left" vertical="center" wrapText="1"/>
    </xf>
    <xf numFmtId="164" fontId="7" fillId="0" borderId="0" xfId="0" applyNumberFormat="1" applyFont="1" applyFill="1" applyBorder="1" applyAlignment="1">
      <alignment horizontal="center" vertical="center" wrapText="1"/>
    </xf>
    <xf numFmtId="164" fontId="6" fillId="0" borderId="13" xfId="0" applyNumberFormat="1" applyFont="1" applyFill="1" applyBorder="1" applyAlignment="1">
      <alignment horizontal="center" vertical="center"/>
    </xf>
    <xf numFmtId="164" fontId="19" fillId="0" borderId="0" xfId="0" applyNumberFormat="1" applyFont="1" applyFill="1" applyBorder="1" applyAlignment="1">
      <alignment horizontal="left" vertical="center" wrapText="1"/>
    </xf>
    <xf numFmtId="164" fontId="19" fillId="0" borderId="18" xfId="0" applyNumberFormat="1" applyFont="1" applyBorder="1" applyAlignment="1">
      <alignment horizontal="left" vertical="center"/>
    </xf>
    <xf numFmtId="164" fontId="56" fillId="0" borderId="22" xfId="0" applyNumberFormat="1" applyFont="1" applyFill="1" applyBorder="1" applyAlignment="1">
      <alignment horizontal="center" vertical="center" wrapText="1"/>
    </xf>
    <xf numFmtId="164" fontId="56" fillId="0" borderId="2" xfId="0" applyNumberFormat="1" applyFont="1" applyBorder="1" applyAlignment="1">
      <alignment horizontal="center" vertical="center" wrapText="1"/>
    </xf>
    <xf numFmtId="164" fontId="19" fillId="0" borderId="13" xfId="0" applyNumberFormat="1" applyFont="1" applyFill="1" applyBorder="1" applyAlignment="1">
      <alignment horizontal="center" vertical="center" wrapText="1"/>
    </xf>
    <xf numFmtId="164" fontId="19" fillId="0" borderId="3" xfId="0" applyNumberFormat="1" applyFont="1" applyBorder="1" applyAlignment="1">
      <alignment horizontal="center" vertical="center" wrapText="1"/>
    </xf>
    <xf numFmtId="164" fontId="33" fillId="5" borderId="13" xfId="0" applyNumberFormat="1" applyFont="1" applyFill="1" applyBorder="1" applyAlignment="1">
      <alignment horizontal="center" vertical="center"/>
    </xf>
    <xf numFmtId="164" fontId="33" fillId="5" borderId="0" xfId="0" applyNumberFormat="1" applyFont="1" applyFill="1" applyBorder="1" applyAlignment="1">
      <alignment horizontal="center" vertical="center"/>
    </xf>
    <xf numFmtId="164" fontId="33" fillId="5" borderId="6" xfId="0" applyNumberFormat="1" applyFont="1" applyFill="1" applyBorder="1" applyAlignment="1">
      <alignment horizontal="center" vertical="center"/>
    </xf>
    <xf numFmtId="168" fontId="19" fillId="0" borderId="18" xfId="0" applyNumberFormat="1" applyFont="1" applyBorder="1" applyAlignment="1">
      <alignment horizontal="center" vertical="center" wrapText="1"/>
    </xf>
    <xf numFmtId="169" fontId="19" fillId="0" borderId="18" xfId="0" applyNumberFormat="1" applyFont="1" applyBorder="1" applyAlignment="1">
      <alignment horizontal="center" wrapText="1"/>
    </xf>
    <xf numFmtId="169" fontId="19" fillId="0" borderId="18" xfId="0" applyNumberFormat="1" applyFont="1" applyBorder="1" applyAlignment="1">
      <alignment horizontal="center" vertical="center" wrapText="1"/>
    </xf>
    <xf numFmtId="167" fontId="19" fillId="0" borderId="18" xfId="0" applyNumberFormat="1" applyFont="1" applyBorder="1" applyAlignment="1">
      <alignment horizontal="center" vertical="center" wrapText="1"/>
    </xf>
    <xf numFmtId="164" fontId="19" fillId="5" borderId="0" xfId="0" applyNumberFormat="1" applyFont="1" applyFill="1" applyBorder="1" applyAlignment="1">
      <alignment horizontal="center" vertical="center"/>
    </xf>
    <xf numFmtId="164" fontId="12" fillId="2" borderId="18" xfId="0" applyNumberFormat="1" applyFont="1" applyFill="1" applyBorder="1" applyAlignment="1">
      <alignment horizontal="center" vertical="center" wrapText="1"/>
    </xf>
    <xf numFmtId="164" fontId="38" fillId="2" borderId="18" xfId="0" applyNumberFormat="1" applyFont="1" applyFill="1" applyBorder="1" applyAlignment="1">
      <alignment horizontal="center" vertical="center" wrapText="1"/>
    </xf>
    <xf numFmtId="164" fontId="37" fillId="2" borderId="18" xfId="0" applyNumberFormat="1" applyFont="1" applyFill="1" applyBorder="1" applyAlignment="1">
      <alignment horizontal="center" vertical="center" wrapText="1"/>
    </xf>
    <xf numFmtId="164" fontId="11" fillId="2" borderId="18" xfId="0" applyNumberFormat="1" applyFont="1" applyFill="1" applyBorder="1" applyAlignment="1">
      <alignment horizontal="center" vertical="center" wrapText="1"/>
    </xf>
    <xf numFmtId="164" fontId="56" fillId="0" borderId="0" xfId="0" applyNumberFormat="1" applyFont="1" applyBorder="1" applyAlignment="1">
      <alignment horizontal="center" vertical="center"/>
    </xf>
    <xf numFmtId="164" fontId="7" fillId="2" borderId="18" xfId="0" applyNumberFormat="1" applyFont="1" applyFill="1" applyBorder="1" applyAlignment="1">
      <alignment horizontal="center" vertical="center" wrapText="1"/>
    </xf>
    <xf numFmtId="164" fontId="10" fillId="2" borderId="18" xfId="0" applyNumberFormat="1" applyFont="1" applyFill="1" applyBorder="1" applyAlignment="1">
      <alignment horizontal="center" vertical="center" wrapText="1"/>
    </xf>
    <xf numFmtId="164" fontId="6" fillId="2" borderId="18" xfId="0" applyNumberFormat="1" applyFont="1" applyFill="1" applyBorder="1" applyAlignment="1">
      <alignment horizontal="center" vertical="center" wrapText="1"/>
    </xf>
    <xf numFmtId="164" fontId="12" fillId="0" borderId="18" xfId="0" applyNumberFormat="1" applyFont="1" applyFill="1" applyBorder="1" applyAlignment="1">
      <alignment horizontal="center" vertical="center" wrapText="1"/>
    </xf>
    <xf numFmtId="164" fontId="15" fillId="0" borderId="18" xfId="0" applyNumberFormat="1" applyFont="1" applyFill="1" applyBorder="1" applyAlignment="1">
      <alignment horizontal="center" vertical="center" wrapText="1"/>
    </xf>
    <xf numFmtId="164" fontId="38" fillId="0" borderId="18" xfId="0" applyNumberFormat="1" applyFont="1" applyFill="1" applyBorder="1" applyAlignment="1">
      <alignment horizontal="center" vertical="center" wrapText="1"/>
    </xf>
    <xf numFmtId="164" fontId="37" fillId="0" borderId="18" xfId="0" applyNumberFormat="1" applyFont="1" applyFill="1" applyBorder="1" applyAlignment="1">
      <alignment horizontal="center" vertical="center" wrapText="1"/>
    </xf>
    <xf numFmtId="164" fontId="11" fillId="0" borderId="18" xfId="0" applyNumberFormat="1" applyFont="1" applyFill="1" applyBorder="1" applyAlignment="1">
      <alignment horizontal="center" vertical="center" wrapText="1"/>
    </xf>
    <xf numFmtId="164" fontId="10" fillId="0" borderId="18" xfId="0" applyNumberFormat="1" applyFont="1" applyFill="1" applyBorder="1" applyAlignment="1">
      <alignment horizontal="center" vertical="center" wrapText="1"/>
    </xf>
    <xf numFmtId="164" fontId="7" fillId="0" borderId="18" xfId="0" applyNumberFormat="1" applyFont="1" applyFill="1" applyBorder="1" applyAlignment="1">
      <alignment horizontal="center" vertical="center" wrapText="1"/>
    </xf>
    <xf numFmtId="164" fontId="32" fillId="0" borderId="18" xfId="0" applyNumberFormat="1" applyFont="1" applyBorder="1" applyAlignment="1">
      <alignment horizontal="center" vertical="center" wrapText="1"/>
    </xf>
    <xf numFmtId="0" fontId="35" fillId="0" borderId="0" xfId="27" applyBorder="1" applyAlignment="1">
      <alignment horizontal="center" vertical="center"/>
    </xf>
    <xf numFmtId="164" fontId="19" fillId="0" borderId="0" xfId="0" applyNumberFormat="1" applyFont="1" applyFill="1" applyBorder="1" applyAlignment="1">
      <alignment horizontal="left" vertical="center"/>
    </xf>
    <xf numFmtId="164" fontId="56" fillId="0" borderId="0" xfId="0" applyNumberFormat="1" applyFont="1" applyBorder="1" applyAlignment="1">
      <alignment horizontal="left" vertical="center"/>
    </xf>
    <xf numFmtId="164" fontId="33" fillId="0" borderId="18" xfId="0" applyNumberFormat="1" applyFont="1" applyFill="1" applyBorder="1" applyAlignment="1">
      <alignment horizontal="center" vertical="center"/>
    </xf>
    <xf numFmtId="167" fontId="19" fillId="0" borderId="18" xfId="0" applyNumberFormat="1" applyFont="1" applyBorder="1" applyAlignment="1">
      <alignment horizontal="center" wrapText="1"/>
    </xf>
    <xf numFmtId="168" fontId="19" fillId="0" borderId="0" xfId="0" applyNumberFormat="1" applyFont="1" applyBorder="1" applyAlignment="1">
      <alignment horizontal="center" vertical="center" wrapText="1"/>
    </xf>
    <xf numFmtId="169" fontId="19" fillId="0" borderId="18" xfId="0" applyNumberFormat="1" applyFont="1" applyFill="1" applyBorder="1" applyAlignment="1">
      <alignment horizontal="center" vertical="center" wrapText="1"/>
    </xf>
    <xf numFmtId="164" fontId="13" fillId="38" borderId="2" xfId="0" applyNumberFormat="1" applyFont="1" applyFill="1" applyBorder="1" applyAlignment="1">
      <alignment horizontal="center" vertical="center" wrapText="1"/>
    </xf>
    <xf numFmtId="164" fontId="19" fillId="38" borderId="14" xfId="0" applyNumberFormat="1" applyFont="1" applyFill="1" applyBorder="1" applyAlignment="1">
      <alignment horizontal="center" vertical="center" wrapText="1"/>
    </xf>
    <xf numFmtId="164" fontId="19" fillId="38" borderId="11" xfId="0" applyNumberFormat="1" applyFont="1" applyFill="1" applyBorder="1" applyAlignment="1">
      <alignment horizontal="center" vertical="center" wrapText="1"/>
    </xf>
    <xf numFmtId="164" fontId="19" fillId="38" borderId="19" xfId="0" applyNumberFormat="1" applyFont="1" applyFill="1" applyBorder="1" applyAlignment="1">
      <alignment horizontal="center" vertical="center" wrapText="1"/>
    </xf>
    <xf numFmtId="164" fontId="19" fillId="38" borderId="13" xfId="0" applyNumberFormat="1" applyFont="1" applyFill="1" applyBorder="1" applyAlignment="1">
      <alignment horizontal="center" vertical="center"/>
    </xf>
    <xf numFmtId="164" fontId="19" fillId="38" borderId="6" xfId="0" applyNumberFormat="1" applyFont="1" applyFill="1" applyBorder="1" applyAlignment="1">
      <alignment horizontal="center" vertical="center"/>
    </xf>
    <xf numFmtId="164" fontId="19" fillId="38" borderId="0" xfId="0" applyNumberFormat="1" applyFont="1" applyFill="1" applyBorder="1" applyAlignment="1">
      <alignment horizontal="center" vertical="center"/>
    </xf>
    <xf numFmtId="164" fontId="11" fillId="38" borderId="0" xfId="0" applyNumberFormat="1" applyFont="1" applyFill="1" applyBorder="1" applyAlignment="1">
      <alignment horizontal="center" vertical="center"/>
    </xf>
    <xf numFmtId="164" fontId="10" fillId="38" borderId="0" xfId="0" applyNumberFormat="1" applyFont="1" applyFill="1" applyBorder="1" applyAlignment="1">
      <alignment horizontal="center" vertical="center"/>
    </xf>
    <xf numFmtId="164" fontId="19" fillId="38" borderId="13" xfId="0" applyNumberFormat="1" applyFont="1" applyFill="1" applyBorder="1" applyAlignment="1">
      <alignment horizontal="center" vertical="center" wrapText="1"/>
    </xf>
    <xf numFmtId="164" fontId="19" fillId="38" borderId="6" xfId="0" applyNumberFormat="1" applyFont="1" applyFill="1" applyBorder="1" applyAlignment="1">
      <alignment horizontal="center" vertical="center" wrapText="1"/>
    </xf>
    <xf numFmtId="164" fontId="19" fillId="38" borderId="0" xfId="0" applyNumberFormat="1" applyFont="1" applyFill="1" applyBorder="1" applyAlignment="1">
      <alignment horizontal="center" vertical="center" wrapText="1"/>
    </xf>
    <xf numFmtId="164" fontId="19" fillId="38" borderId="18" xfId="0" applyNumberFormat="1" applyFont="1" applyFill="1" applyBorder="1" applyAlignment="1">
      <alignment horizontal="center" vertical="center" wrapText="1"/>
    </xf>
    <xf numFmtId="164" fontId="11" fillId="38" borderId="18" xfId="0" applyNumberFormat="1" applyFont="1" applyFill="1" applyBorder="1" applyAlignment="1">
      <alignment horizontal="center" vertical="center" wrapText="1"/>
    </xf>
    <xf numFmtId="164" fontId="2" fillId="38" borderId="18" xfId="0" applyNumberFormat="1" applyFont="1" applyFill="1" applyBorder="1" applyAlignment="1">
      <alignment horizontal="center" vertical="center" wrapText="1"/>
    </xf>
    <xf numFmtId="164" fontId="5" fillId="38" borderId="18" xfId="0" applyNumberFormat="1" applyFont="1" applyFill="1" applyBorder="1" applyAlignment="1">
      <alignment horizontal="center" vertical="center" wrapText="1"/>
    </xf>
    <xf numFmtId="164" fontId="2" fillId="0" borderId="18" xfId="0" applyNumberFormat="1" applyFont="1" applyBorder="1" applyAlignment="1">
      <alignment horizontal="center" vertical="center" wrapText="1"/>
    </xf>
    <xf numFmtId="164" fontId="1" fillId="0" borderId="0" xfId="0" applyNumberFormat="1" applyFont="1" applyBorder="1" applyAlignment="1">
      <alignment horizontal="center" vertical="center"/>
    </xf>
    <xf numFmtId="164" fontId="1" fillId="2" borderId="0" xfId="0" applyNumberFormat="1" applyFont="1" applyFill="1" applyBorder="1" applyAlignment="1">
      <alignment horizontal="center" vertical="center" wrapText="1"/>
    </xf>
    <xf numFmtId="164" fontId="1" fillId="0" borderId="0" xfId="0" applyNumberFormat="1" applyFont="1" applyBorder="1" applyAlignment="1">
      <alignment horizontal="left" vertical="center" wrapText="1"/>
    </xf>
    <xf numFmtId="164" fontId="19" fillId="0" borderId="0" xfId="0" applyNumberFormat="1" applyFont="1" applyBorder="1" applyAlignment="1">
      <alignment horizontal="left" vertical="center" wrapText="1"/>
    </xf>
    <xf numFmtId="164" fontId="19" fillId="0" borderId="18" xfId="1" applyNumberFormat="1" applyFont="1" applyBorder="1" applyAlignment="1">
      <alignment horizontal="center" vertical="center"/>
    </xf>
    <xf numFmtId="164" fontId="19" fillId="0" borderId="0" xfId="0" applyNumberFormat="1" applyFont="1" applyAlignment="1">
      <alignment horizontal="left" vertical="center"/>
    </xf>
    <xf numFmtId="164" fontId="19" fillId="0" borderId="18" xfId="0" applyNumberFormat="1" applyFont="1" applyBorder="1" applyAlignment="1">
      <alignment horizontal="left" vertical="center" wrapText="1"/>
    </xf>
    <xf numFmtId="164" fontId="7" fillId="0" borderId="0" xfId="0" applyNumberFormat="1" applyFont="1" applyBorder="1" applyAlignment="1">
      <alignment horizontal="left" vertical="center" wrapText="1"/>
    </xf>
    <xf numFmtId="164" fontId="19" fillId="0" borderId="0" xfId="0" applyNumberFormat="1" applyFont="1" applyFill="1" applyAlignment="1">
      <alignment horizontal="left" vertical="center"/>
    </xf>
    <xf numFmtId="164" fontId="34" fillId="0" borderId="0" xfId="0" applyNumberFormat="1" applyFont="1" applyFill="1" applyBorder="1" applyAlignment="1">
      <alignment horizontal="left" vertical="center" wrapText="1"/>
    </xf>
    <xf numFmtId="164" fontId="10" fillId="0" borderId="0" xfId="0" applyNumberFormat="1" applyFont="1" applyBorder="1" applyAlignment="1">
      <alignment horizontal="left" vertical="center" wrapText="1"/>
    </xf>
    <xf numFmtId="164" fontId="10" fillId="0" borderId="0" xfId="0" applyNumberFormat="1" applyFont="1" applyBorder="1" applyAlignment="1">
      <alignment horizontal="left" vertical="center"/>
    </xf>
    <xf numFmtId="164" fontId="12" fillId="0" borderId="0" xfId="0" applyNumberFormat="1" applyFont="1" applyFill="1" applyBorder="1" applyAlignment="1">
      <alignment horizontal="left" vertical="center" wrapText="1"/>
    </xf>
    <xf numFmtId="164" fontId="12" fillId="0" borderId="0" xfId="0" applyNumberFormat="1" applyFont="1" applyBorder="1" applyAlignment="1">
      <alignment horizontal="left" vertical="center" wrapText="1"/>
    </xf>
    <xf numFmtId="164" fontId="19" fillId="0" borderId="7" xfId="0" applyNumberFormat="1" applyFont="1" applyBorder="1" applyAlignment="1">
      <alignment horizontal="left" vertical="center" wrapText="1"/>
    </xf>
    <xf numFmtId="164" fontId="37" fillId="0" borderId="18" xfId="0" applyNumberFormat="1" applyFont="1" applyFill="1" applyBorder="1" applyAlignment="1">
      <alignment horizontal="left" vertical="center" wrapText="1"/>
    </xf>
    <xf numFmtId="164" fontId="37" fillId="0" borderId="18" xfId="0" applyNumberFormat="1" applyFont="1" applyBorder="1" applyAlignment="1">
      <alignment horizontal="left" vertical="center" wrapText="1"/>
    </xf>
    <xf numFmtId="164" fontId="7" fillId="0" borderId="18" xfId="0" applyNumberFormat="1" applyFont="1" applyFill="1" applyBorder="1" applyAlignment="1">
      <alignment horizontal="left" vertical="center" wrapText="1"/>
    </xf>
    <xf numFmtId="164" fontId="4" fillId="6" borderId="18" xfId="0" applyNumberFormat="1" applyFont="1" applyFill="1" applyBorder="1" applyAlignment="1">
      <alignment horizontal="left" vertical="center" wrapText="1"/>
    </xf>
    <xf numFmtId="164" fontId="38" fillId="0" borderId="18" xfId="0" applyNumberFormat="1" applyFont="1" applyBorder="1" applyAlignment="1">
      <alignment horizontal="left" vertical="center" wrapText="1"/>
    </xf>
    <xf numFmtId="164" fontId="38" fillId="0" borderId="18" xfId="0" applyNumberFormat="1" applyFont="1" applyFill="1" applyBorder="1" applyAlignment="1">
      <alignment horizontal="left" vertical="center" wrapText="1"/>
    </xf>
    <xf numFmtId="164" fontId="12" fillId="0" borderId="18" xfId="0" applyNumberFormat="1" applyFont="1" applyFill="1" applyBorder="1" applyAlignment="1">
      <alignment horizontal="left" vertical="center" wrapText="1"/>
    </xf>
    <xf numFmtId="164" fontId="12" fillId="0" borderId="18" xfId="0" applyNumberFormat="1" applyFont="1" applyBorder="1" applyAlignment="1">
      <alignment horizontal="left" vertical="center" wrapText="1"/>
    </xf>
    <xf numFmtId="164" fontId="10" fillId="0" borderId="18" xfId="0" applyNumberFormat="1" applyFont="1" applyFill="1" applyBorder="1" applyAlignment="1">
      <alignment horizontal="left" vertical="center" wrapText="1"/>
    </xf>
    <xf numFmtId="164" fontId="10" fillId="0" borderId="18" xfId="0" applyNumberFormat="1" applyFont="1" applyBorder="1" applyAlignment="1">
      <alignment horizontal="left" vertical="center" wrapText="1"/>
    </xf>
    <xf numFmtId="164" fontId="6" fillId="0" borderId="18" xfId="0" applyNumberFormat="1" applyFont="1" applyFill="1" applyBorder="1" applyAlignment="1">
      <alignment horizontal="left" vertical="center" wrapText="1"/>
    </xf>
    <xf numFmtId="164" fontId="11" fillId="0" borderId="18" xfId="0" applyNumberFormat="1" applyFont="1" applyFill="1" applyBorder="1" applyAlignment="1">
      <alignment horizontal="left" vertical="center" wrapText="1"/>
    </xf>
    <xf numFmtId="164" fontId="11" fillId="0" borderId="18" xfId="0" applyNumberFormat="1" applyFont="1" applyBorder="1" applyAlignment="1">
      <alignment horizontal="left" vertical="center" wrapText="1"/>
    </xf>
    <xf numFmtId="164" fontId="9" fillId="0" borderId="18" xfId="0" applyNumberFormat="1" applyFont="1" applyBorder="1" applyAlignment="1">
      <alignment horizontal="left" vertical="center" wrapText="1"/>
    </xf>
    <xf numFmtId="164" fontId="19" fillId="0" borderId="7" xfId="0" applyNumberFormat="1" applyFont="1" applyBorder="1" applyAlignment="1">
      <alignment horizontal="left" vertical="center"/>
    </xf>
    <xf numFmtId="0" fontId="19" fillId="0" borderId="0" xfId="0" applyFont="1" applyBorder="1" applyAlignment="1">
      <alignment horizontal="left" vertical="center"/>
    </xf>
    <xf numFmtId="0" fontId="19" fillId="0" borderId="0" xfId="0" applyFont="1" applyFill="1" applyBorder="1" applyAlignment="1">
      <alignment horizontal="left" vertical="center"/>
    </xf>
    <xf numFmtId="0" fontId="19" fillId="0" borderId="0" xfId="0" applyFont="1" applyAlignment="1">
      <alignment horizontal="left" vertical="center"/>
    </xf>
    <xf numFmtId="0" fontId="19" fillId="0" borderId="0" xfId="0" applyFont="1" applyFill="1" applyAlignment="1">
      <alignment horizontal="left" vertical="center"/>
    </xf>
    <xf numFmtId="0" fontId="19" fillId="0" borderId="7" xfId="0" applyFont="1" applyBorder="1" applyAlignment="1">
      <alignment horizontal="left" vertical="center"/>
    </xf>
    <xf numFmtId="164" fontId="1" fillId="2" borderId="0" xfId="0" applyNumberFormat="1" applyFont="1" applyFill="1" applyBorder="1" applyAlignment="1">
      <alignment horizontal="left" vertical="center"/>
    </xf>
    <xf numFmtId="164" fontId="19" fillId="0" borderId="7" xfId="1" applyNumberFormat="1" applyFont="1" applyBorder="1" applyAlignment="1">
      <alignment horizontal="center" vertical="center"/>
    </xf>
    <xf numFmtId="164" fontId="19" fillId="3" borderId="18" xfId="0" applyNumberFormat="1" applyFont="1" applyFill="1" applyBorder="1" applyAlignment="1">
      <alignment horizontal="center" vertical="center" wrapText="1"/>
    </xf>
    <xf numFmtId="164" fontId="15" fillId="0" borderId="18" xfId="0" applyNumberFormat="1" applyFont="1" applyFill="1" applyBorder="1" applyAlignment="1">
      <alignment horizontal="center" vertical="center"/>
    </xf>
    <xf numFmtId="167" fontId="19" fillId="0" borderId="0" xfId="0" applyNumberFormat="1" applyFont="1" applyBorder="1" applyAlignment="1">
      <alignment horizontal="center" vertical="center" wrapText="1"/>
    </xf>
    <xf numFmtId="167" fontId="19" fillId="0" borderId="23" xfId="0" applyNumberFormat="1" applyFont="1" applyBorder="1" applyAlignment="1">
      <alignment horizontal="center" vertical="center" wrapText="1"/>
    </xf>
    <xf numFmtId="164" fontId="13" fillId="2" borderId="18" xfId="0" applyNumberFormat="1" applyFont="1" applyFill="1" applyBorder="1" applyAlignment="1">
      <alignment horizontal="center" vertical="center" wrapText="1"/>
    </xf>
    <xf numFmtId="164" fontId="36" fillId="2" borderId="18" xfId="0" applyNumberFormat="1" applyFont="1" applyFill="1" applyBorder="1" applyAlignment="1">
      <alignment horizontal="center" vertical="center" wrapText="1"/>
    </xf>
    <xf numFmtId="164" fontId="10" fillId="0" borderId="18" xfId="0" applyNumberFormat="1" applyFont="1" applyFill="1" applyBorder="1" applyAlignment="1">
      <alignment horizontal="center" vertical="center"/>
    </xf>
    <xf numFmtId="164" fontId="9" fillId="0" borderId="13" xfId="0" applyNumberFormat="1" applyFont="1" applyFill="1" applyBorder="1" applyAlignment="1">
      <alignment horizontal="center" vertical="center"/>
    </xf>
    <xf numFmtId="164" fontId="3" fillId="2" borderId="18" xfId="0" applyNumberFormat="1" applyFont="1" applyFill="1" applyBorder="1" applyAlignment="1">
      <alignment horizontal="center" vertical="center" wrapText="1"/>
    </xf>
    <xf numFmtId="164" fontId="6" fillId="0" borderId="18" xfId="0" applyNumberFormat="1" applyFont="1" applyFill="1" applyBorder="1" applyAlignment="1">
      <alignment horizontal="center" vertical="center"/>
    </xf>
    <xf numFmtId="164" fontId="8" fillId="2" borderId="18" xfId="0" applyNumberFormat="1" applyFont="1" applyFill="1" applyBorder="1" applyAlignment="1">
      <alignment horizontal="center" vertical="center" wrapText="1"/>
    </xf>
    <xf numFmtId="164" fontId="2" fillId="2" borderId="18" xfId="0" applyNumberFormat="1" applyFont="1" applyFill="1" applyBorder="1" applyAlignment="1">
      <alignment horizontal="center" vertical="center" wrapText="1"/>
    </xf>
    <xf numFmtId="164" fontId="2" fillId="0" borderId="18" xfId="0" applyNumberFormat="1" applyFont="1" applyFill="1" applyBorder="1" applyAlignment="1">
      <alignment horizontal="center" vertical="center" wrapText="1"/>
    </xf>
    <xf numFmtId="164" fontId="36" fillId="0" borderId="18" xfId="0" applyNumberFormat="1" applyFont="1" applyFill="1" applyBorder="1" applyAlignment="1">
      <alignment horizontal="center" vertical="center" wrapText="1"/>
    </xf>
    <xf numFmtId="164" fontId="6" fillId="0" borderId="18" xfId="0" applyNumberFormat="1" applyFont="1" applyFill="1" applyBorder="1" applyAlignment="1">
      <alignment horizontal="center" vertical="center" wrapText="1"/>
    </xf>
    <xf numFmtId="164" fontId="13" fillId="0" borderId="18" xfId="0" applyNumberFormat="1" applyFont="1" applyFill="1" applyBorder="1" applyAlignment="1">
      <alignment horizontal="center" vertical="center" wrapText="1"/>
    </xf>
    <xf numFmtId="0" fontId="19" fillId="0" borderId="18" xfId="0" applyFont="1" applyBorder="1"/>
    <xf numFmtId="164" fontId="19" fillId="38" borderId="18" xfId="0" applyNumberFormat="1" applyFont="1" applyFill="1" applyBorder="1" applyAlignment="1">
      <alignment horizontal="center" vertical="center"/>
    </xf>
    <xf numFmtId="164" fontId="36" fillId="38" borderId="18" xfId="0" applyNumberFormat="1" applyFont="1" applyFill="1" applyBorder="1" applyAlignment="1">
      <alignment horizontal="center" vertical="center" wrapText="1"/>
    </xf>
    <xf numFmtId="164" fontId="35" fillId="0" borderId="0" xfId="27" applyNumberFormat="1" applyBorder="1" applyAlignment="1">
      <alignment horizontal="center"/>
    </xf>
    <xf numFmtId="164" fontId="12" fillId="0" borderId="18" xfId="0" applyNumberFormat="1" applyFont="1" applyBorder="1" applyAlignment="1">
      <alignment horizontal="center" vertical="center" wrapText="1"/>
    </xf>
    <xf numFmtId="164" fontId="32" fillId="0" borderId="18" xfId="0" applyNumberFormat="1" applyFont="1" applyFill="1" applyBorder="1" applyAlignment="1">
      <alignment horizontal="center" vertical="center" wrapText="1"/>
    </xf>
    <xf numFmtId="164" fontId="35" fillId="0" borderId="0" xfId="27" applyNumberFormat="1" applyFill="1" applyBorder="1" applyAlignment="1">
      <alignment horizontal="center"/>
    </xf>
    <xf numFmtId="164" fontId="13" fillId="0" borderId="18" xfId="0" applyNumberFormat="1" applyFont="1" applyBorder="1" applyAlignment="1">
      <alignment horizontal="center" vertical="center" wrapText="1"/>
    </xf>
    <xf numFmtId="164" fontId="16" fillId="0" borderId="18" xfId="0" applyNumberFormat="1" applyFont="1" applyBorder="1" applyAlignment="1">
      <alignment vertical="center" wrapText="1"/>
    </xf>
    <xf numFmtId="164" fontId="11" fillId="0" borderId="6" xfId="0" applyNumberFormat="1" applyFont="1" applyBorder="1" applyAlignment="1">
      <alignment horizontal="center" vertical="center"/>
    </xf>
    <xf numFmtId="164" fontId="11" fillId="0" borderId="0" xfId="0" applyNumberFormat="1" applyFont="1" applyFill="1" applyBorder="1" applyAlignment="1">
      <alignment horizontal="left" vertical="center"/>
    </xf>
    <xf numFmtId="164" fontId="13" fillId="0" borderId="18" xfId="0" applyNumberFormat="1" applyFont="1" applyFill="1" applyBorder="1" applyAlignment="1">
      <alignment horizontal="left" vertical="center" wrapText="1"/>
    </xf>
    <xf numFmtId="164" fontId="10" fillId="0" borderId="18" xfId="0" applyNumberFormat="1" applyFont="1" applyBorder="1" applyAlignment="1">
      <alignment horizontal="left" vertical="center"/>
    </xf>
    <xf numFmtId="164" fontId="36" fillId="0" borderId="18" xfId="0" applyNumberFormat="1" applyFont="1" applyFill="1" applyBorder="1" applyAlignment="1">
      <alignment horizontal="left" vertical="center" wrapText="1"/>
    </xf>
    <xf numFmtId="164" fontId="6" fillId="0" borderId="18" xfId="0" applyNumberFormat="1" applyFont="1" applyBorder="1" applyAlignment="1">
      <alignment horizontal="left" vertical="center" wrapText="1"/>
    </xf>
    <xf numFmtId="164" fontId="36" fillId="0" borderId="18" xfId="0" applyNumberFormat="1" applyFont="1" applyBorder="1" applyAlignment="1">
      <alignment horizontal="left" vertical="center" wrapText="1"/>
    </xf>
    <xf numFmtId="164" fontId="19" fillId="4" borderId="4" xfId="0" applyNumberFormat="1" applyFont="1" applyFill="1" applyBorder="1" applyAlignment="1">
      <alignment horizontal="center" vertical="center"/>
    </xf>
    <xf numFmtId="164" fontId="19" fillId="0" borderId="1" xfId="0" applyNumberFormat="1" applyFont="1" applyBorder="1" applyAlignment="1">
      <alignment horizontal="center" vertical="center"/>
    </xf>
    <xf numFmtId="164" fontId="19" fillId="0" borderId="8" xfId="0" applyNumberFormat="1" applyFont="1" applyBorder="1" applyAlignment="1">
      <alignment horizontal="center" vertical="center"/>
    </xf>
    <xf numFmtId="164" fontId="19" fillId="0" borderId="11" xfId="0" applyNumberFormat="1" applyFont="1" applyBorder="1" applyAlignment="1">
      <alignment horizontal="center" vertical="center"/>
    </xf>
    <xf numFmtId="164" fontId="19" fillId="0" borderId="12" xfId="0" applyNumberFormat="1" applyFont="1" applyBorder="1" applyAlignment="1">
      <alignment horizontal="center" vertical="center"/>
    </xf>
    <xf numFmtId="164" fontId="19" fillId="0" borderId="16" xfId="0" applyNumberFormat="1" applyFont="1" applyBorder="1" applyAlignment="1">
      <alignment horizontal="center" vertical="center"/>
    </xf>
    <xf numFmtId="0" fontId="1" fillId="0" borderId="0" xfId="0" applyFont="1" applyAlignment="1">
      <alignment horizontal="left" vertical="center"/>
    </xf>
    <xf numFmtId="164" fontId="1" fillId="0" borderId="13" xfId="1" applyNumberFormat="1" applyFont="1" applyBorder="1" applyAlignment="1">
      <alignment horizontal="center" vertical="center"/>
    </xf>
    <xf numFmtId="164" fontId="1" fillId="6" borderId="6" xfId="0" applyNumberFormat="1" applyFont="1" applyFill="1" applyBorder="1" applyAlignment="1">
      <alignment horizontal="center" vertical="center"/>
    </xf>
    <xf numFmtId="164" fontId="1" fillId="0" borderId="6" xfId="0" applyNumberFormat="1" applyFont="1" applyFill="1" applyBorder="1" applyAlignment="1">
      <alignment horizontal="center" vertical="center"/>
    </xf>
    <xf numFmtId="164" fontId="1" fillId="0" borderId="6" xfId="0" applyNumberFormat="1" applyFont="1" applyFill="1" applyBorder="1" applyAlignment="1">
      <alignment horizontal="center" vertical="center" wrapText="1"/>
    </xf>
    <xf numFmtId="2" fontId="19" fillId="0" borderId="0" xfId="0" applyNumberFormat="1" applyFont="1" applyAlignment="1">
      <alignment horizontal="center" vertical="center"/>
    </xf>
    <xf numFmtId="2" fontId="19" fillId="0" borderId="11" xfId="0" applyNumberFormat="1" applyFont="1" applyBorder="1" applyAlignment="1">
      <alignment horizontal="center" vertical="center" wrapText="1"/>
    </xf>
    <xf numFmtId="2" fontId="19" fillId="0" borderId="0" xfId="0" applyNumberFormat="1" applyFont="1"/>
    <xf numFmtId="164" fontId="1" fillId="0" borderId="13" xfId="0" applyNumberFormat="1" applyFont="1" applyBorder="1" applyAlignment="1">
      <alignment horizontal="center" vertical="center"/>
    </xf>
    <xf numFmtId="164" fontId="1" fillId="0" borderId="0" xfId="0" applyNumberFormat="1" applyFont="1" applyBorder="1" applyAlignment="1">
      <alignment horizontal="left" vertical="center"/>
    </xf>
    <xf numFmtId="164" fontId="1" fillId="2" borderId="2" xfId="0" applyNumberFormat="1" applyFont="1" applyFill="1" applyBorder="1" applyAlignment="1">
      <alignment horizontal="center" vertical="center" wrapText="1"/>
    </xf>
    <xf numFmtId="0" fontId="26" fillId="0" borderId="0" xfId="0" applyFont="1" applyAlignment="1">
      <alignment horizontal="right" vertical="center" wrapText="1"/>
    </xf>
    <xf numFmtId="0" fontId="26" fillId="0" borderId="0" xfId="0" applyFont="1" applyAlignment="1">
      <alignment horizontal="right" vertical="center"/>
    </xf>
    <xf numFmtId="164" fontId="19" fillId="4" borderId="3" xfId="0" applyNumberFormat="1" applyFont="1" applyFill="1" applyBorder="1" applyAlignment="1">
      <alignment horizontal="center" vertical="center"/>
    </xf>
    <xf numFmtId="164" fontId="19" fillId="4" borderId="4" xfId="0" applyNumberFormat="1" applyFont="1" applyFill="1" applyBorder="1" applyAlignment="1">
      <alignment horizontal="center" vertical="center"/>
    </xf>
    <xf numFmtId="164" fontId="19" fillId="4" borderId="5" xfId="0" applyNumberFormat="1" applyFont="1" applyFill="1" applyBorder="1" applyAlignment="1">
      <alignment horizontal="center" vertical="center"/>
    </xf>
    <xf numFmtId="164" fontId="19" fillId="0" borderId="1" xfId="0" applyNumberFormat="1" applyFont="1" applyBorder="1" applyAlignment="1">
      <alignment horizontal="center" vertical="center"/>
    </xf>
    <xf numFmtId="2" fontId="19" fillId="0" borderId="1" xfId="0" applyNumberFormat="1" applyFont="1" applyBorder="1" applyAlignment="1">
      <alignment horizontal="center" vertical="center"/>
    </xf>
    <xf numFmtId="164" fontId="19" fillId="0" borderId="9" xfId="0" applyNumberFormat="1" applyFont="1" applyBorder="1" applyAlignment="1">
      <alignment horizontal="center" vertical="center"/>
    </xf>
    <xf numFmtId="164" fontId="19" fillId="0" borderId="3" xfId="0" applyNumberFormat="1" applyFont="1" applyBorder="1" applyAlignment="1">
      <alignment horizontal="center" vertical="center"/>
    </xf>
    <xf numFmtId="164" fontId="19" fillId="0" borderId="4" xfId="0" applyNumberFormat="1" applyFont="1" applyBorder="1" applyAlignment="1">
      <alignment horizontal="center" vertical="center"/>
    </xf>
    <xf numFmtId="168" fontId="19" fillId="0" borderId="4" xfId="0" applyNumberFormat="1" applyFont="1" applyBorder="1" applyAlignment="1">
      <alignment horizontal="center" vertical="center"/>
    </xf>
    <xf numFmtId="164" fontId="19" fillId="0" borderId="5" xfId="0" applyNumberFormat="1" applyFont="1" applyBorder="1" applyAlignment="1">
      <alignment horizontal="center" vertical="center"/>
    </xf>
    <xf numFmtId="164" fontId="19" fillId="0" borderId="8" xfId="0" applyNumberFormat="1" applyFont="1" applyBorder="1" applyAlignment="1">
      <alignment horizontal="center" vertical="center"/>
    </xf>
    <xf numFmtId="164" fontId="19" fillId="0" borderId="16" xfId="0" applyNumberFormat="1" applyFont="1" applyBorder="1" applyAlignment="1">
      <alignment horizontal="center" vertical="center"/>
    </xf>
    <xf numFmtId="164" fontId="19" fillId="0" borderId="10" xfId="0" applyNumberFormat="1" applyFont="1" applyBorder="1" applyAlignment="1">
      <alignment horizontal="center" vertical="center"/>
    </xf>
    <xf numFmtId="164" fontId="19" fillId="0" borderId="11" xfId="0" applyNumberFormat="1" applyFont="1" applyBorder="1" applyAlignment="1">
      <alignment horizontal="center" vertical="center"/>
    </xf>
    <xf numFmtId="164" fontId="19" fillId="0" borderId="12" xfId="0" applyNumberFormat="1" applyFont="1" applyBorder="1" applyAlignment="1">
      <alignment horizontal="center" vertical="center"/>
    </xf>
    <xf numFmtId="164" fontId="19" fillId="4" borderId="10" xfId="0" applyNumberFormat="1" applyFont="1" applyFill="1" applyBorder="1" applyAlignment="1">
      <alignment horizontal="center" vertical="center"/>
    </xf>
    <xf numFmtId="164" fontId="19" fillId="4" borderId="11" xfId="0" applyNumberFormat="1" applyFont="1" applyFill="1" applyBorder="1" applyAlignment="1">
      <alignment horizontal="center" vertical="center"/>
    </xf>
    <xf numFmtId="164" fontId="19" fillId="4" borderId="12" xfId="0" applyNumberFormat="1" applyFont="1" applyFill="1" applyBorder="1" applyAlignment="1">
      <alignment horizontal="center" vertical="center"/>
    </xf>
  </cellXfs>
  <cellStyles count="411">
    <cellStyle name="20% - Accent1" xfId="46" builtinId="30" customBuiltin="1"/>
    <cellStyle name="20% - Accent1 2" xfId="185"/>
    <cellStyle name="20% - Accent1 2 2" xfId="340"/>
    <cellStyle name="20% - Accent2" xfId="50" builtinId="34" customBuiltin="1"/>
    <cellStyle name="20% - Accent2 2" xfId="189"/>
    <cellStyle name="20% - Accent2 2 2" xfId="342"/>
    <cellStyle name="20% - Accent3" xfId="54" builtinId="38" customBuiltin="1"/>
    <cellStyle name="20% - Accent3 2" xfId="193"/>
    <cellStyle name="20% - Accent3 2 2" xfId="344"/>
    <cellStyle name="20% - Accent4" xfId="58" builtinId="42" customBuiltin="1"/>
    <cellStyle name="20% - Accent4 2" xfId="197"/>
    <cellStyle name="20% - Accent4 2 2" xfId="346"/>
    <cellStyle name="20% - Accent5" xfId="62" builtinId="46" customBuiltin="1"/>
    <cellStyle name="20% - Accent5 2" xfId="201"/>
    <cellStyle name="20% - Accent5 2 2" xfId="348"/>
    <cellStyle name="20% - Accent6" xfId="66" builtinId="50" customBuiltin="1"/>
    <cellStyle name="20% - Accent6 2" xfId="205"/>
    <cellStyle name="20% - Accent6 2 2" xfId="350"/>
    <cellStyle name="40% - Accent1" xfId="47" builtinId="31" customBuiltin="1"/>
    <cellStyle name="40% - Accent1 2" xfId="186"/>
    <cellStyle name="40% - Accent1 2 2" xfId="341"/>
    <cellStyle name="40% - Accent1 3" xfId="300"/>
    <cellStyle name="40% - Accent1 3 2" xfId="308"/>
    <cellStyle name="40% - Accent1 3 2 2" xfId="329"/>
    <cellStyle name="40% - Accent1 3 3" xfId="326"/>
    <cellStyle name="40% - Accent2" xfId="51" builtinId="35" customBuiltin="1"/>
    <cellStyle name="40% - Accent2 2" xfId="190"/>
    <cellStyle name="40% - Accent2 2 2" xfId="343"/>
    <cellStyle name="40% - Accent3" xfId="55" builtinId="39" customBuiltin="1"/>
    <cellStyle name="40% - Accent3 2" xfId="194"/>
    <cellStyle name="40% - Accent3 2 2" xfId="345"/>
    <cellStyle name="40% - Accent4" xfId="59" builtinId="43" customBuiltin="1"/>
    <cellStyle name="40% - Accent4 2" xfId="198"/>
    <cellStyle name="40% - Accent4 2 2" xfId="347"/>
    <cellStyle name="40% - Accent5" xfId="63" builtinId="47" customBuiltin="1"/>
    <cellStyle name="40% - Accent5 2" xfId="202"/>
    <cellStyle name="40% - Accent5 2 2" xfId="349"/>
    <cellStyle name="40% - Accent6" xfId="67" builtinId="51" customBuiltin="1"/>
    <cellStyle name="40% - Accent6 2" xfId="206"/>
    <cellStyle name="40% - Accent6 2 2" xfId="351"/>
    <cellStyle name="60% - Accent1" xfId="48" builtinId="32" customBuiltin="1"/>
    <cellStyle name="60% - Accent1 2" xfId="187"/>
    <cellStyle name="60% - Accent2" xfId="52" builtinId="36" customBuiltin="1"/>
    <cellStyle name="60% - Accent2 2" xfId="191"/>
    <cellStyle name="60% - Accent3" xfId="56" builtinId="40" customBuiltin="1"/>
    <cellStyle name="60% - Accent3 2" xfId="195"/>
    <cellStyle name="60% - Accent4" xfId="60" builtinId="44" customBuiltin="1"/>
    <cellStyle name="60% - Accent4 2" xfId="199"/>
    <cellStyle name="60% - Accent5" xfId="64" builtinId="48" customBuiltin="1"/>
    <cellStyle name="60% - Accent5 2" xfId="203"/>
    <cellStyle name="60% - Accent6" xfId="68" builtinId="52" customBuiltin="1"/>
    <cellStyle name="60% - Accent6 2" xfId="207"/>
    <cellStyle name="Accent1" xfId="45" builtinId="29" customBuiltin="1"/>
    <cellStyle name="Accent1 2" xfId="184"/>
    <cellStyle name="Accent2" xfId="49" builtinId="33" customBuiltin="1"/>
    <cellStyle name="Accent2 2" xfId="188"/>
    <cellStyle name="Accent3" xfId="53" builtinId="37" customBuiltin="1"/>
    <cellStyle name="Accent3 2" xfId="192"/>
    <cellStyle name="Accent4" xfId="57" builtinId="41" customBuiltin="1"/>
    <cellStyle name="Accent4 2" xfId="196"/>
    <cellStyle name="Accent5" xfId="61" builtinId="45" customBuiltin="1"/>
    <cellStyle name="Accent5 2" xfId="200"/>
    <cellStyle name="Accent6" xfId="65" builtinId="49" customBuiltin="1"/>
    <cellStyle name="Accent6 2" xfId="204"/>
    <cellStyle name="Bad" xfId="34" builtinId="27" customBuiltin="1"/>
    <cellStyle name="Bad 2" xfId="174"/>
    <cellStyle name="Calculation" xfId="38" builtinId="22" customBuiltin="1"/>
    <cellStyle name="Calculation 2" xfId="178"/>
    <cellStyle name="Check Cell" xfId="40" builtinId="23" customBuiltin="1"/>
    <cellStyle name="Check Cell 2" xfId="180"/>
    <cellStyle name="Comma 3" xfId="302"/>
    <cellStyle name="Comma 3 2" xfId="309"/>
    <cellStyle name="Comma 3 2 2" xfId="330"/>
    <cellStyle name="Comma 3 3" xfId="327"/>
    <cellStyle name="Explanatory Text" xfId="43" builtinId="53" customBuiltin="1"/>
    <cellStyle name="Explanatory Text 2" xfId="182"/>
    <cellStyle name="Good" xfId="33" builtinId="26" customBuiltin="1"/>
    <cellStyle name="Good 2" xfId="173"/>
    <cellStyle name="Heading 1" xfId="29" builtinId="16" customBuiltin="1"/>
    <cellStyle name="Heading 1 2" xfId="169"/>
    <cellStyle name="Heading 2" xfId="30" builtinId="17" customBuiltin="1"/>
    <cellStyle name="Heading 2 2" xfId="170"/>
    <cellStyle name="Heading 3" xfId="31" builtinId="18" customBuiltin="1"/>
    <cellStyle name="Heading 3 2" xfId="171"/>
    <cellStyle name="Heading 4" xfId="32" builtinId="19" customBuiltin="1"/>
    <cellStyle name="Heading 4 2" xfId="172"/>
    <cellStyle name="Input" xfId="36" builtinId="20" customBuiltin="1"/>
    <cellStyle name="Input 2" xfId="176"/>
    <cellStyle name="Linked Cell" xfId="39" builtinId="24" customBuiltin="1"/>
    <cellStyle name="Linked Cell 2" xfId="179"/>
    <cellStyle name="Neutral" xfId="35" builtinId="28" customBuiltin="1"/>
    <cellStyle name="Neutral 2" xfId="175"/>
    <cellStyle name="Normal" xfId="0" builtinId="0"/>
    <cellStyle name="Normal 10" xfId="292"/>
    <cellStyle name="Normal 10 2" xfId="367"/>
    <cellStyle name="Normal 11" xfId="293"/>
    <cellStyle name="Normal 11 2" xfId="368"/>
    <cellStyle name="Normal 12" xfId="294"/>
    <cellStyle name="Normal 12 2" xfId="369"/>
    <cellStyle name="Normal 13" xfId="295"/>
    <cellStyle name="Normal 13 2" xfId="370"/>
    <cellStyle name="Normal 14" xfId="296"/>
    <cellStyle name="Normal 14 2" xfId="371"/>
    <cellStyle name="Normal 15" xfId="297"/>
    <cellStyle name="Normal 15 2" xfId="372"/>
    <cellStyle name="Normal 16" xfId="298"/>
    <cellStyle name="Normal 16 2" xfId="373"/>
    <cellStyle name="Normal 17" xfId="317"/>
    <cellStyle name="Normal 17 2" xfId="332"/>
    <cellStyle name="Normal 18" xfId="318"/>
    <cellStyle name="Normal 18 2" xfId="333"/>
    <cellStyle name="Normal 19" xfId="319"/>
    <cellStyle name="Normal 19 2" xfId="334"/>
    <cellStyle name="Normal 2" xfId="2"/>
    <cellStyle name="Normal 2 10" xfId="138"/>
    <cellStyle name="Normal 2 10 2" xfId="254"/>
    <cellStyle name="Normal 2 10 3" xfId="323"/>
    <cellStyle name="Normal 2 10 4" xfId="382"/>
    <cellStyle name="Normal 2 11" xfId="145"/>
    <cellStyle name="Normal 2 11 2" xfId="261"/>
    <cellStyle name="Normal 2 11 3" xfId="324"/>
    <cellStyle name="Normal 2 11 4" xfId="383"/>
    <cellStyle name="Normal 2 12" xfId="209"/>
    <cellStyle name="Normal 2 12 2" xfId="337"/>
    <cellStyle name="Normal 2 12 3" xfId="384"/>
    <cellStyle name="Normal 2 13" xfId="310"/>
    <cellStyle name="Normal 2 14" xfId="385"/>
    <cellStyle name="Normal 2 2" xfId="1"/>
    <cellStyle name="Normal 2 2 10" xfId="69"/>
    <cellStyle name="Normal 2 2 10 2" xfId="115"/>
    <cellStyle name="Normal 2 2 10 3" xfId="400"/>
    <cellStyle name="Normal 2 2 11" xfId="91"/>
    <cellStyle name="Normal 2 2 11 2" xfId="232"/>
    <cellStyle name="Normal 2 2 12" xfId="127"/>
    <cellStyle name="Normal 2 2 12 2" xfId="243"/>
    <cellStyle name="Normal 2 2 13" xfId="139"/>
    <cellStyle name="Normal 2 2 13 2" xfId="255"/>
    <cellStyle name="Normal 2 2 14" xfId="153"/>
    <cellStyle name="Normal 2 2 14 2" xfId="269"/>
    <cellStyle name="Normal 2 2 15" xfId="147"/>
    <cellStyle name="Normal 2 2 15 2" xfId="263"/>
    <cellStyle name="Normal 2 2 16" xfId="208"/>
    <cellStyle name="Normal 2 2 17" xfId="285"/>
    <cellStyle name="Normal 2 2 18" xfId="352"/>
    <cellStyle name="Normal 2 2 2" xfId="3"/>
    <cellStyle name="Normal 2 2 2 10" xfId="311"/>
    <cellStyle name="Normal 2 2 2 11" xfId="353"/>
    <cellStyle name="Normal 2 2 2 2" xfId="16"/>
    <cellStyle name="Normal 2 2 2 2 2" xfId="82"/>
    <cellStyle name="Normal 2 2 2 2 2 2" xfId="222"/>
    <cellStyle name="Normal 2 2 2 2 3" xfId="106"/>
    <cellStyle name="Normal 2 2 2 3" xfId="71"/>
    <cellStyle name="Normal 2 2 2 3 2" xfId="117"/>
    <cellStyle name="Normal 2 2 2 3 3" xfId="387"/>
    <cellStyle name="Normal 2 2 2 4" xfId="93"/>
    <cellStyle name="Normal 2 2 2 4 2" xfId="234"/>
    <cellStyle name="Normal 2 2 2 4 3" xfId="390"/>
    <cellStyle name="Normal 2 2 2 5" xfId="129"/>
    <cellStyle name="Normal 2 2 2 5 2" xfId="245"/>
    <cellStyle name="Normal 2 2 2 5 3" xfId="394"/>
    <cellStyle name="Normal 2 2 2 6" xfId="150"/>
    <cellStyle name="Normal 2 2 2 6 2" xfId="266"/>
    <cellStyle name="Normal 2 2 2 6 3" xfId="397"/>
    <cellStyle name="Normal 2 2 2 7" xfId="161"/>
    <cellStyle name="Normal 2 2 2 7 2" xfId="277"/>
    <cellStyle name="Normal 2 2 2 7 3" xfId="401"/>
    <cellStyle name="Normal 2 2 2 8" xfId="158"/>
    <cellStyle name="Normal 2 2 2 8 2" xfId="274"/>
    <cellStyle name="Normal 2 2 2 9" xfId="210"/>
    <cellStyle name="Normal 2 2 3" xfId="4"/>
    <cellStyle name="Normal 2 2 3 10" xfId="312"/>
    <cellStyle name="Normal 2 2 3 11" xfId="354"/>
    <cellStyle name="Normal 2 2 3 2" xfId="17"/>
    <cellStyle name="Normal 2 2 3 2 2" xfId="83"/>
    <cellStyle name="Normal 2 2 3 2 2 2" xfId="223"/>
    <cellStyle name="Normal 2 2 3 2 3" xfId="107"/>
    <cellStyle name="Normal 2 2 3 3" xfId="72"/>
    <cellStyle name="Normal 2 2 3 3 2" xfId="118"/>
    <cellStyle name="Normal 2 2 3 3 3" xfId="388"/>
    <cellStyle name="Normal 2 2 3 4" xfId="94"/>
    <cellStyle name="Normal 2 2 3 4 2" xfId="235"/>
    <cellStyle name="Normal 2 2 3 4 3" xfId="391"/>
    <cellStyle name="Normal 2 2 3 5" xfId="143"/>
    <cellStyle name="Normal 2 2 3 5 2" xfId="259"/>
    <cellStyle name="Normal 2 2 3 5 3" xfId="395"/>
    <cellStyle name="Normal 2 2 3 6" xfId="146"/>
    <cellStyle name="Normal 2 2 3 6 2" xfId="262"/>
    <cellStyle name="Normal 2 2 3 6 3" xfId="398"/>
    <cellStyle name="Normal 2 2 3 7" xfId="156"/>
    <cellStyle name="Normal 2 2 3 7 2" xfId="272"/>
    <cellStyle name="Normal 2 2 3 7 3" xfId="402"/>
    <cellStyle name="Normal 2 2 3 8" xfId="168"/>
    <cellStyle name="Normal 2 2 3 8 2" xfId="284"/>
    <cellStyle name="Normal 2 2 3 9" xfId="211"/>
    <cellStyle name="Normal 2 2 4" xfId="5"/>
    <cellStyle name="Normal 2 2 4 10" xfId="313"/>
    <cellStyle name="Normal 2 2 4 11" xfId="355"/>
    <cellStyle name="Normal 2 2 4 2" xfId="18"/>
    <cellStyle name="Normal 2 2 4 2 2" xfId="84"/>
    <cellStyle name="Normal 2 2 4 2 2 2" xfId="224"/>
    <cellStyle name="Normal 2 2 4 2 3" xfId="108"/>
    <cellStyle name="Normal 2 2 4 3" xfId="73"/>
    <cellStyle name="Normal 2 2 4 3 2" xfId="119"/>
    <cellStyle name="Normal 2 2 4 3 3" xfId="389"/>
    <cellStyle name="Normal 2 2 4 4" xfId="95"/>
    <cellStyle name="Normal 2 2 4 4 2" xfId="236"/>
    <cellStyle name="Normal 2 2 4 4 3" xfId="392"/>
    <cellStyle name="Normal 2 2 4 5" xfId="134"/>
    <cellStyle name="Normal 2 2 4 5 2" xfId="250"/>
    <cellStyle name="Normal 2 2 4 5 3" xfId="396"/>
    <cellStyle name="Normal 2 2 4 6" xfId="130"/>
    <cellStyle name="Normal 2 2 4 6 2" xfId="246"/>
    <cellStyle name="Normal 2 2 4 6 3" xfId="399"/>
    <cellStyle name="Normal 2 2 4 7" xfId="137"/>
    <cellStyle name="Normal 2 2 4 7 2" xfId="253"/>
    <cellStyle name="Normal 2 2 4 7 3" xfId="403"/>
    <cellStyle name="Normal 2 2 4 8" xfId="166"/>
    <cellStyle name="Normal 2 2 4 8 2" xfId="282"/>
    <cellStyle name="Normal 2 2 4 9" xfId="212"/>
    <cellStyle name="Normal 2 2 5" xfId="6"/>
    <cellStyle name="Normal 2 2 5 10" xfId="314"/>
    <cellStyle name="Normal 2 2 5 11" xfId="356"/>
    <cellStyle name="Normal 2 2 5 2" xfId="19"/>
    <cellStyle name="Normal 2 2 5 2 2" xfId="85"/>
    <cellStyle name="Normal 2 2 5 2 2 2" xfId="225"/>
    <cellStyle name="Normal 2 2 5 2 3" xfId="109"/>
    <cellStyle name="Normal 2 2 5 3" xfId="74"/>
    <cellStyle name="Normal 2 2 5 3 2" xfId="120"/>
    <cellStyle name="Normal 2 2 5 4" xfId="96"/>
    <cellStyle name="Normal 2 2 5 4 2" xfId="237"/>
    <cellStyle name="Normal 2 2 5 5" xfId="142"/>
    <cellStyle name="Normal 2 2 5 5 2" xfId="258"/>
    <cellStyle name="Normal 2 2 5 6" xfId="155"/>
    <cellStyle name="Normal 2 2 5 6 2" xfId="271"/>
    <cellStyle name="Normal 2 2 5 7" xfId="152"/>
    <cellStyle name="Normal 2 2 5 7 2" xfId="268"/>
    <cellStyle name="Normal 2 2 5 8" xfId="157"/>
    <cellStyle name="Normal 2 2 5 8 2" xfId="273"/>
    <cellStyle name="Normal 2 2 5 9" xfId="213"/>
    <cellStyle name="Normal 2 2 6" xfId="7"/>
    <cellStyle name="Normal 2 2 6 10" xfId="315"/>
    <cellStyle name="Normal 2 2 6 11" xfId="357"/>
    <cellStyle name="Normal 2 2 6 2" xfId="20"/>
    <cellStyle name="Normal 2 2 6 2 2" xfId="86"/>
    <cellStyle name="Normal 2 2 6 2 2 2" xfId="226"/>
    <cellStyle name="Normal 2 2 6 2 3" xfId="110"/>
    <cellStyle name="Normal 2 2 6 3" xfId="75"/>
    <cellStyle name="Normal 2 2 6 3 2" xfId="121"/>
    <cellStyle name="Normal 2 2 6 4" xfId="97"/>
    <cellStyle name="Normal 2 2 6 4 2" xfId="238"/>
    <cellStyle name="Normal 2 2 6 5" xfId="133"/>
    <cellStyle name="Normal 2 2 6 5 2" xfId="249"/>
    <cellStyle name="Normal 2 2 6 6" xfId="149"/>
    <cellStyle name="Normal 2 2 6 6 2" xfId="265"/>
    <cellStyle name="Normal 2 2 6 7" xfId="162"/>
    <cellStyle name="Normal 2 2 6 7 2" xfId="278"/>
    <cellStyle name="Normal 2 2 6 8" xfId="136"/>
    <cellStyle name="Normal 2 2 6 8 2" xfId="252"/>
    <cellStyle name="Normal 2 2 6 9" xfId="214"/>
    <cellStyle name="Normal 2 2 7" xfId="8"/>
    <cellStyle name="Normal 2 2 7 10" xfId="316"/>
    <cellStyle name="Normal 2 2 7 11" xfId="358"/>
    <cellStyle name="Normal 2 2 7 2" xfId="21"/>
    <cellStyle name="Normal 2 2 7 2 2" xfId="87"/>
    <cellStyle name="Normal 2 2 7 2 2 2" xfId="227"/>
    <cellStyle name="Normal 2 2 7 2 3" xfId="111"/>
    <cellStyle name="Normal 2 2 7 3" xfId="76"/>
    <cellStyle name="Normal 2 2 7 3 2" xfId="122"/>
    <cellStyle name="Normal 2 2 7 4" xfId="98"/>
    <cellStyle name="Normal 2 2 7 4 2" xfId="239"/>
    <cellStyle name="Normal 2 2 7 5" xfId="128"/>
    <cellStyle name="Normal 2 2 7 5 2" xfId="244"/>
    <cellStyle name="Normal 2 2 7 6" xfId="144"/>
    <cellStyle name="Normal 2 2 7 6 2" xfId="260"/>
    <cellStyle name="Normal 2 2 7 7" xfId="159"/>
    <cellStyle name="Normal 2 2 7 7 2" xfId="275"/>
    <cellStyle name="Normal 2 2 7 8" xfId="163"/>
    <cellStyle name="Normal 2 2 7 8 2" xfId="279"/>
    <cellStyle name="Normal 2 2 7 9" xfId="215"/>
    <cellStyle name="Normal 2 2 8" xfId="9"/>
    <cellStyle name="Normal 2 2 8 10" xfId="393"/>
    <cellStyle name="Normal 2 2 8 2" xfId="22"/>
    <cellStyle name="Normal 2 2 8 2 2" xfId="88"/>
    <cellStyle name="Normal 2 2 8 2 2 2" xfId="228"/>
    <cellStyle name="Normal 2 2 8 2 3" xfId="112"/>
    <cellStyle name="Normal 2 2 8 3" xfId="77"/>
    <cellStyle name="Normal 2 2 8 3 2" xfId="123"/>
    <cellStyle name="Normal 2 2 8 4" xfId="99"/>
    <cellStyle name="Normal 2 2 8 4 2" xfId="240"/>
    <cellStyle name="Normal 2 2 8 5" xfId="141"/>
    <cellStyle name="Normal 2 2 8 5 2" xfId="257"/>
    <cellStyle name="Normal 2 2 8 6" xfId="154"/>
    <cellStyle name="Normal 2 2 8 6 2" xfId="270"/>
    <cellStyle name="Normal 2 2 8 7" xfId="126"/>
    <cellStyle name="Normal 2 2 8 7 2" xfId="233"/>
    <cellStyle name="Normal 2 2 8 8" xfId="165"/>
    <cellStyle name="Normal 2 2 8 8 2" xfId="281"/>
    <cellStyle name="Normal 2 2 8 9" xfId="216"/>
    <cellStyle name="Normal 2 2 9" xfId="14"/>
    <cellStyle name="Normal 2 2 9 2" xfId="80"/>
    <cellStyle name="Normal 2 2 9 2 2" xfId="220"/>
    <cellStyle name="Normal 2 2 9 3" xfId="104"/>
    <cellStyle name="Normal 2 3" xfId="10"/>
    <cellStyle name="Normal 2 3 10" xfId="301"/>
    <cellStyle name="Normal 2 3 11" xfId="359"/>
    <cellStyle name="Normal 2 3 2" xfId="23"/>
    <cellStyle name="Normal 2 3 2 2" xfId="89"/>
    <cellStyle name="Normal 2 3 2 2 2" xfId="229"/>
    <cellStyle name="Normal 2 3 2 3" xfId="113"/>
    <cellStyle name="Normal 2 3 3" xfId="78"/>
    <cellStyle name="Normal 2 3 3 2" xfId="124"/>
    <cellStyle name="Normal 2 3 4" xfId="100"/>
    <cellStyle name="Normal 2 3 4 2" xfId="241"/>
    <cellStyle name="Normal 2 3 5" xfId="132"/>
    <cellStyle name="Normal 2 3 5 2" xfId="248"/>
    <cellStyle name="Normal 2 3 6" xfId="148"/>
    <cellStyle name="Normal 2 3 6 2" xfId="264"/>
    <cellStyle name="Normal 2 3 7" xfId="151"/>
    <cellStyle name="Normal 2 3 7 2" xfId="267"/>
    <cellStyle name="Normal 2 3 8" xfId="167"/>
    <cellStyle name="Normal 2 3 8 2" xfId="283"/>
    <cellStyle name="Normal 2 3 9" xfId="217"/>
    <cellStyle name="Normal 2 4" xfId="11"/>
    <cellStyle name="Normal 2 4 10" xfId="304"/>
    <cellStyle name="Normal 2 4 11" xfId="360"/>
    <cellStyle name="Normal 2 4 2" xfId="24"/>
    <cellStyle name="Normal 2 4 2 2" xfId="90"/>
    <cellStyle name="Normal 2 4 2 2 2" xfId="230"/>
    <cellStyle name="Normal 2 4 2 3" xfId="114"/>
    <cellStyle name="Normal 2 4 3" xfId="79"/>
    <cellStyle name="Normal 2 4 3 2" xfId="125"/>
    <cellStyle name="Normal 2 4 4" xfId="101"/>
    <cellStyle name="Normal 2 4 4 2" xfId="242"/>
    <cellStyle name="Normal 2 4 5" xfId="140"/>
    <cellStyle name="Normal 2 4 5 2" xfId="256"/>
    <cellStyle name="Normal 2 4 6" xfId="103"/>
    <cellStyle name="Normal 2 4 6 2" xfId="219"/>
    <cellStyle name="Normal 2 4 7" xfId="160"/>
    <cellStyle name="Normal 2 4 7 2" xfId="276"/>
    <cellStyle name="Normal 2 4 8" xfId="164"/>
    <cellStyle name="Normal 2 4 8 2" xfId="280"/>
    <cellStyle name="Normal 2 4 9" xfId="218"/>
    <cellStyle name="Normal 2 5" xfId="15"/>
    <cellStyle name="Normal 2 5 2" xfId="81"/>
    <cellStyle name="Normal 2 5 2 2" xfId="221"/>
    <cellStyle name="Normal 2 5 2 2 2" xfId="331"/>
    <cellStyle name="Normal 2 5 2 2 2 2" xfId="328"/>
    <cellStyle name="Normal 2 5 2 3" xfId="376"/>
    <cellStyle name="Normal 2 5 3" xfId="105"/>
    <cellStyle name="Normal 2 5 3 2" xfId="379"/>
    <cellStyle name="Normal 2 5 4" xfId="380"/>
    <cellStyle name="Normal 2 6" xfId="70"/>
    <cellStyle name="Normal 2 6 2" xfId="116"/>
    <cellStyle name="Normal 2 6 3" xfId="303"/>
    <cellStyle name="Normal 2 6 4" xfId="375"/>
    <cellStyle name="Normal 2 7" xfId="92"/>
    <cellStyle name="Normal 2 7 2" xfId="231"/>
    <cellStyle name="Normal 2 7 3" xfId="305"/>
    <cellStyle name="Normal 2 7 4" xfId="377"/>
    <cellStyle name="Normal 2 8" xfId="135"/>
    <cellStyle name="Normal 2 8 2" xfId="251"/>
    <cellStyle name="Normal 2 8 3" xfId="306"/>
    <cellStyle name="Normal 2 8 4" xfId="378"/>
    <cellStyle name="Normal 2 9" xfId="131"/>
    <cellStyle name="Normal 2 9 2" xfId="247"/>
    <cellStyle name="Normal 2 9 3" xfId="322"/>
    <cellStyle name="Normal 2 9 4" xfId="381"/>
    <cellStyle name="Normal 20" xfId="320"/>
    <cellStyle name="Normal 20 2" xfId="335"/>
    <cellStyle name="Normal 21" xfId="321"/>
    <cellStyle name="Normal 21 2" xfId="336"/>
    <cellStyle name="Normal 22" xfId="386"/>
    <cellStyle name="Normal 23" xfId="408"/>
    <cellStyle name="Normal 24" xfId="407"/>
    <cellStyle name="Normal 25" xfId="404"/>
    <cellStyle name="Normal 26" xfId="405"/>
    <cellStyle name="Normal 27" xfId="406"/>
    <cellStyle name="Normal 28" xfId="409"/>
    <cellStyle name="Normal 29" xfId="410"/>
    <cellStyle name="Normal 3" xfId="12"/>
    <cellStyle name="Normal 3 2" xfId="13"/>
    <cellStyle name="Normal 3 2 2" xfId="26"/>
    <cellStyle name="Normal 3 2 3" xfId="286"/>
    <cellStyle name="Normal 3 3" xfId="25"/>
    <cellStyle name="Normal 3 3 2" xfId="361"/>
    <cellStyle name="Normal 3 4" xfId="102"/>
    <cellStyle name="Normal 4" xfId="27"/>
    <cellStyle name="Normal 4 2" xfId="338"/>
    <cellStyle name="Normal 4 2 2" xfId="299"/>
    <cellStyle name="Normal 4 3" xfId="325"/>
    <cellStyle name="Normal 4 4" xfId="374"/>
    <cellStyle name="Normal 5" xfId="287"/>
    <cellStyle name="Normal 5 2" xfId="362"/>
    <cellStyle name="Normal 6" xfId="288"/>
    <cellStyle name="Normal 6 2" xfId="363"/>
    <cellStyle name="Normal 7" xfId="289"/>
    <cellStyle name="Normal 7 2" xfId="364"/>
    <cellStyle name="Normal 8" xfId="290"/>
    <cellStyle name="Normal 8 2" xfId="365"/>
    <cellStyle name="Normal 9" xfId="291"/>
    <cellStyle name="Normal 9 2" xfId="366"/>
    <cellStyle name="Note" xfId="42" builtinId="10" customBuiltin="1"/>
    <cellStyle name="Note 2" xfId="307"/>
    <cellStyle name="Note 3" xfId="339"/>
    <cellStyle name="Output" xfId="37" builtinId="21" customBuiltin="1"/>
    <cellStyle name="Output 2" xfId="177"/>
    <cellStyle name="Title" xfId="28" builtinId="15" customBuiltin="1"/>
    <cellStyle name="Total" xfId="44" builtinId="25" customBuiltin="1"/>
    <cellStyle name="Total 2" xfId="183"/>
    <cellStyle name="Warning Text" xfId="41" builtinId="11" customBuiltin="1"/>
    <cellStyle name="Warning Text 2" xfId="181"/>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1253636</xdr:colOff>
      <xdr:row>3</xdr:row>
      <xdr:rowOff>0</xdr:rowOff>
    </xdr:to>
    <xdr:pic>
      <xdr:nvPicPr>
        <xdr:cNvPr id="2" name="Picture 1" descr="C:\Documents and Settings\buifa\Desktop\CDMSmith_logo_print_PMS_BlueGr.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253636" cy="5524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J49"/>
  <sheetViews>
    <sheetView tabSelected="1" workbookViewId="0">
      <selection activeCell="C8" sqref="C8"/>
    </sheetView>
  </sheetViews>
  <sheetFormatPr defaultRowHeight="13.5" x14ac:dyDescent="0.25"/>
  <cols>
    <col min="1" max="1" width="19.5703125" style="62" bestFit="1" customWidth="1"/>
    <col min="2" max="2" width="36.7109375" style="62" bestFit="1" customWidth="1"/>
    <col min="3" max="3" width="10.28515625" style="62" customWidth="1"/>
    <col min="4" max="4" width="11.42578125" style="62" bestFit="1" customWidth="1"/>
    <col min="5" max="5" width="8.42578125" style="62" bestFit="1" customWidth="1"/>
    <col min="6" max="6" width="9.140625" style="62"/>
    <col min="7" max="7" width="11.42578125" style="62" bestFit="1" customWidth="1"/>
    <col min="8" max="8" width="8.5703125" style="62" bestFit="1" customWidth="1"/>
    <col min="9" max="9" width="13.5703125" style="62" bestFit="1" customWidth="1"/>
    <col min="10" max="16384" width="9.140625" style="62"/>
  </cols>
  <sheetData>
    <row r="2" spans="1:10" ht="15" x14ac:dyDescent="0.3">
      <c r="B2" s="1"/>
      <c r="H2" s="2"/>
      <c r="I2" s="3" t="s">
        <v>35</v>
      </c>
      <c r="J2" s="4"/>
    </row>
    <row r="3" spans="1:10" ht="15" x14ac:dyDescent="0.3">
      <c r="A3" s="5"/>
      <c r="B3" s="2"/>
      <c r="H3" s="2"/>
      <c r="I3" s="3" t="s">
        <v>36</v>
      </c>
      <c r="J3" s="6"/>
    </row>
    <row r="4" spans="1:10" ht="15" x14ac:dyDescent="0.3">
      <c r="A4" s="3" t="s">
        <v>37</v>
      </c>
      <c r="B4" s="7" t="s">
        <v>38</v>
      </c>
      <c r="C4" s="8"/>
      <c r="D4" s="8"/>
      <c r="E4" s="8"/>
      <c r="F4" s="8"/>
      <c r="G4" s="8"/>
      <c r="H4" s="9"/>
      <c r="I4" s="3" t="s">
        <v>39</v>
      </c>
      <c r="J4" s="10">
        <f ca="1">TODAY()</f>
        <v>42937</v>
      </c>
    </row>
    <row r="5" spans="1:10" ht="15" x14ac:dyDescent="0.3">
      <c r="A5" s="3" t="s">
        <v>40</v>
      </c>
      <c r="B5" s="11" t="s">
        <v>141</v>
      </c>
      <c r="C5" s="12"/>
      <c r="D5" s="13"/>
      <c r="E5" s="13"/>
      <c r="F5" s="13"/>
      <c r="G5" s="13"/>
      <c r="H5" s="14"/>
      <c r="I5" s="3" t="s">
        <v>41</v>
      </c>
      <c r="J5" s="6"/>
    </row>
    <row r="6" spans="1:10" ht="15" x14ac:dyDescent="0.3">
      <c r="G6" s="2"/>
      <c r="H6" s="14"/>
      <c r="I6" s="3" t="s">
        <v>42</v>
      </c>
      <c r="J6" s="6"/>
    </row>
    <row r="7" spans="1:10" ht="15" x14ac:dyDescent="0.3">
      <c r="A7" s="3" t="s">
        <v>43</v>
      </c>
      <c r="G7" s="2"/>
    </row>
    <row r="8" spans="1:10" ht="15" x14ac:dyDescent="0.3">
      <c r="A8" s="3"/>
      <c r="B8" s="98" t="s">
        <v>447</v>
      </c>
      <c r="C8" s="62" t="s">
        <v>448</v>
      </c>
      <c r="G8" s="2"/>
    </row>
    <row r="9" spans="1:10" ht="15" x14ac:dyDescent="0.3">
      <c r="A9" s="3"/>
      <c r="B9" s="98" t="s">
        <v>479</v>
      </c>
      <c r="C9" s="62" t="s">
        <v>480</v>
      </c>
      <c r="G9" s="2"/>
    </row>
    <row r="10" spans="1:10" ht="15" x14ac:dyDescent="0.3">
      <c r="A10" s="3"/>
      <c r="G10" s="2"/>
    </row>
    <row r="11" spans="1:10" ht="15" x14ac:dyDescent="0.3">
      <c r="A11" s="3"/>
      <c r="G11" s="2"/>
    </row>
    <row r="12" spans="1:10" x14ac:dyDescent="0.25">
      <c r="B12" s="270" t="s">
        <v>44</v>
      </c>
      <c r="C12" s="62" t="s">
        <v>378</v>
      </c>
    </row>
    <row r="13" spans="1:10" x14ac:dyDescent="0.25">
      <c r="B13" s="270"/>
      <c r="C13" s="62" t="s">
        <v>379</v>
      </c>
    </row>
    <row r="14" spans="1:10" x14ac:dyDescent="0.25">
      <c r="B14" s="116"/>
    </row>
    <row r="15" spans="1:10" ht="15" x14ac:dyDescent="0.25">
      <c r="B15" s="114" t="s">
        <v>484</v>
      </c>
      <c r="C15" s="62" t="s">
        <v>486</v>
      </c>
    </row>
    <row r="16" spans="1:10" ht="15" x14ac:dyDescent="0.25">
      <c r="B16" s="114" t="s">
        <v>485</v>
      </c>
      <c r="C16" s="62" t="s">
        <v>487</v>
      </c>
    </row>
    <row r="17" spans="2:8" x14ac:dyDescent="0.25">
      <c r="B17" s="116"/>
    </row>
    <row r="18" spans="2:8" ht="15" customHeight="1" x14ac:dyDescent="0.25">
      <c r="B18" s="269" t="s">
        <v>45</v>
      </c>
      <c r="C18" s="62" t="s">
        <v>383</v>
      </c>
    </row>
    <row r="19" spans="2:8" x14ac:dyDescent="0.25">
      <c r="B19" s="269"/>
      <c r="C19" s="62" t="s">
        <v>428</v>
      </c>
    </row>
    <row r="20" spans="2:8" x14ac:dyDescent="0.25">
      <c r="B20" s="116"/>
    </row>
    <row r="21" spans="2:8" ht="15" x14ac:dyDescent="0.3">
      <c r="B21" s="116"/>
      <c r="G21" s="117" t="s">
        <v>46</v>
      </c>
      <c r="H21" s="117"/>
    </row>
    <row r="22" spans="2:8" ht="15" x14ac:dyDescent="0.3">
      <c r="B22" s="113" t="s">
        <v>47</v>
      </c>
      <c r="C22" s="62" t="s">
        <v>431</v>
      </c>
      <c r="G22" s="62" t="s">
        <v>430</v>
      </c>
      <c r="H22" s="15"/>
    </row>
    <row r="23" spans="2:8" ht="15" x14ac:dyDescent="0.3">
      <c r="B23" s="113" t="s">
        <v>48</v>
      </c>
      <c r="C23" s="62" t="s">
        <v>432</v>
      </c>
      <c r="D23" s="15"/>
      <c r="E23" s="15"/>
      <c r="G23" s="62" t="s">
        <v>433</v>
      </c>
    </row>
    <row r="24" spans="2:8" ht="15" x14ac:dyDescent="0.3">
      <c r="B24" s="112"/>
      <c r="D24" s="15"/>
    </row>
    <row r="25" spans="2:8" ht="15" x14ac:dyDescent="0.3">
      <c r="B25" s="112" t="s">
        <v>49</v>
      </c>
      <c r="C25" s="62" t="s">
        <v>483</v>
      </c>
      <c r="D25" s="15"/>
      <c r="G25" s="62" t="s">
        <v>482</v>
      </c>
    </row>
    <row r="26" spans="2:8" ht="15" x14ac:dyDescent="0.3">
      <c r="B26" s="113" t="s">
        <v>50</v>
      </c>
      <c r="D26" s="15"/>
    </row>
    <row r="27" spans="2:8" x14ac:dyDescent="0.25">
      <c r="B27" s="116"/>
    </row>
    <row r="28" spans="2:8" ht="15" x14ac:dyDescent="0.3">
      <c r="B28" s="270" t="s">
        <v>51</v>
      </c>
      <c r="C28" s="62" t="s">
        <v>488</v>
      </c>
      <c r="D28" s="15"/>
      <c r="G28" s="62" t="s">
        <v>430</v>
      </c>
    </row>
    <row r="29" spans="2:8" ht="15" x14ac:dyDescent="0.3">
      <c r="B29" s="270"/>
      <c r="D29" s="15"/>
    </row>
    <row r="30" spans="2:8" ht="15" x14ac:dyDescent="0.3">
      <c r="B30" s="270"/>
      <c r="D30" s="15"/>
    </row>
    <row r="31" spans="2:8" ht="15" x14ac:dyDescent="0.3">
      <c r="B31" s="116"/>
      <c r="G31" s="117"/>
    </row>
    <row r="32" spans="2:8" ht="15" x14ac:dyDescent="0.3">
      <c r="B32" s="113" t="s">
        <v>52</v>
      </c>
      <c r="C32" s="62" t="s">
        <v>481</v>
      </c>
      <c r="D32" s="15"/>
      <c r="G32" s="62" t="s">
        <v>430</v>
      </c>
    </row>
    <row r="33" spans="2:7" ht="15" x14ac:dyDescent="0.3">
      <c r="B33" s="113" t="s">
        <v>53</v>
      </c>
      <c r="D33" s="15"/>
    </row>
    <row r="34" spans="2:7" ht="15" x14ac:dyDescent="0.3">
      <c r="B34" s="116"/>
      <c r="G34" s="117"/>
    </row>
    <row r="35" spans="2:7" ht="15" x14ac:dyDescent="0.3">
      <c r="B35" s="113" t="s">
        <v>54</v>
      </c>
      <c r="C35" s="62" t="s">
        <v>481</v>
      </c>
      <c r="D35" s="15"/>
      <c r="G35" s="62" t="s">
        <v>482</v>
      </c>
    </row>
    <row r="36" spans="2:7" x14ac:dyDescent="0.25">
      <c r="B36" s="116"/>
      <c r="C36" s="62" t="s">
        <v>481</v>
      </c>
      <c r="D36" s="62" t="s">
        <v>503</v>
      </c>
      <c r="G36" s="62" t="s">
        <v>502</v>
      </c>
    </row>
    <row r="37" spans="2:7" ht="15.75" customHeight="1" x14ac:dyDescent="0.3">
      <c r="B37" s="269" t="s">
        <v>55</v>
      </c>
      <c r="D37" s="15"/>
    </row>
    <row r="38" spans="2:7" ht="15" x14ac:dyDescent="0.3">
      <c r="B38" s="269"/>
      <c r="D38" s="15"/>
    </row>
    <row r="39" spans="2:7" ht="15" x14ac:dyDescent="0.25">
      <c r="B39" s="112"/>
    </row>
    <row r="40" spans="2:7" ht="15" customHeight="1" x14ac:dyDescent="0.3">
      <c r="B40" s="113" t="s">
        <v>56</v>
      </c>
      <c r="D40" s="15"/>
    </row>
    <row r="41" spans="2:7" ht="15" customHeight="1" x14ac:dyDescent="0.3">
      <c r="B41" s="113" t="s">
        <v>57</v>
      </c>
      <c r="D41" s="15"/>
    </row>
    <row r="42" spans="2:7" ht="15" x14ac:dyDescent="0.3">
      <c r="B42" s="113" t="s">
        <v>58</v>
      </c>
      <c r="D42" s="15"/>
    </row>
    <row r="45" spans="2:7" ht="15" x14ac:dyDescent="0.25">
      <c r="B45" s="113" t="s">
        <v>429</v>
      </c>
      <c r="C45" s="115" t="s">
        <v>390</v>
      </c>
      <c r="D45" s="115" t="s">
        <v>427</v>
      </c>
    </row>
    <row r="46" spans="2:7" x14ac:dyDescent="0.25">
      <c r="C46" s="115" t="s">
        <v>400</v>
      </c>
      <c r="D46" s="115"/>
    </row>
    <row r="48" spans="2:7" x14ac:dyDescent="0.25">
      <c r="C48" s="118"/>
      <c r="E48" s="119"/>
    </row>
    <row r="49" spans="5:5" x14ac:dyDescent="0.25">
      <c r="E49" s="119"/>
    </row>
  </sheetData>
  <customSheetViews>
    <customSheetView guid="{F0387214-3BDA-4006-9E21-387E20EAB1EC}">
      <selection activeCell="C8" sqref="C8"/>
      <pageMargins left="0.7" right="0.7" top="0.75" bottom="0.75" header="0.3" footer="0.3"/>
      <pageSetup orientation="portrait" horizontalDpi="1200" verticalDpi="1200" r:id="rId1"/>
    </customSheetView>
    <customSheetView guid="{CFFD7D15-8089-4D7F-B5CD-03D3C31EAF12}">
      <selection activeCell="I16" sqref="I16"/>
      <pageMargins left="0.7" right="0.7" top="0.75" bottom="0.75" header="0.3" footer="0.3"/>
      <pageSetup orientation="portrait" horizontalDpi="1200" verticalDpi="1200" r:id="rId2"/>
    </customSheetView>
    <customSheetView guid="{B2AC13F8-8803-4938-A122-D6609740C5F9}">
      <selection activeCell="F23" sqref="F23"/>
      <pageMargins left="0.7" right="0.7" top="0.75" bottom="0.75" header="0.3" footer="0.3"/>
      <pageSetup orientation="portrait" horizontalDpi="1200" verticalDpi="1200" r:id="rId3"/>
    </customSheetView>
    <customSheetView guid="{BFF25E14-62FF-4420-944D-36454345F104}">
      <selection activeCell="C17" sqref="C17"/>
      <pageMargins left="0.7" right="0.7" top="0.75" bottom="0.75" header="0.3" footer="0.3"/>
      <pageSetup orientation="portrait" horizontalDpi="1200" verticalDpi="1200" r:id="rId4"/>
    </customSheetView>
    <customSheetView guid="{7A29113A-61A0-43B7-B08C-448836547E66}">
      <selection activeCell="F23" sqref="F23"/>
      <pageMargins left="0.7" right="0.7" top="0.75" bottom="0.75" header="0.3" footer="0.3"/>
      <pageSetup orientation="portrait" horizontalDpi="1200" verticalDpi="1200" r:id="rId5"/>
    </customSheetView>
    <customSheetView guid="{4F6C9C03-6C55-41EF-B47D-43F980709561}" showPageBreaks="1">
      <selection activeCell="C17" sqref="C17"/>
      <pageMargins left="0.7" right="0.7" top="0.75" bottom="0.75" header="0.3" footer="0.3"/>
      <pageSetup orientation="portrait" horizontalDpi="1200" verticalDpi="1200" r:id="rId6"/>
    </customSheetView>
    <customSheetView guid="{70613950-0069-49D6-B350-71C38C6FF91B}" topLeftCell="A9">
      <selection activeCell="D36" sqref="D36"/>
      <pageMargins left="0.7" right="0.7" top="0.75" bottom="0.75" header="0.3" footer="0.3"/>
      <pageSetup orientation="portrait" horizontalDpi="1200" verticalDpi="1200" r:id="rId7"/>
    </customSheetView>
  </customSheetViews>
  <mergeCells count="4">
    <mergeCell ref="B18:B19"/>
    <mergeCell ref="B28:B30"/>
    <mergeCell ref="B37:B38"/>
    <mergeCell ref="B12:B13"/>
  </mergeCells>
  <pageMargins left="0.7" right="0.7" top="0.75" bottom="0.75" header="0.3" footer="0.3"/>
  <pageSetup orientation="portrait" horizontalDpi="1200" verticalDpi="1200" r:id="rId8"/>
  <drawing r:id="rId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C1048574"/>
  <sheetViews>
    <sheetView topLeftCell="A31" zoomScale="115" zoomScaleNormal="115" workbookViewId="0">
      <selection activeCell="A53" sqref="A53:XFD145"/>
    </sheetView>
  </sheetViews>
  <sheetFormatPr defaultRowHeight="12.75" x14ac:dyDescent="0.2"/>
  <cols>
    <col min="1" max="1" width="11" style="59" customWidth="1"/>
    <col min="2" max="2" width="10" style="58" customWidth="1"/>
    <col min="3" max="6" width="9.140625" style="59" customWidth="1"/>
    <col min="7" max="8" width="13.7109375" style="59" customWidth="1"/>
    <col min="9" max="9" width="9.28515625" style="96" customWidth="1"/>
    <col min="10" max="10" width="9.140625" style="59"/>
    <col min="11" max="11" width="9.140625" style="59" customWidth="1"/>
    <col min="12" max="13" width="9.140625" style="49" customWidth="1"/>
    <col min="14" max="14" width="12.5703125" style="57" customWidth="1"/>
    <col min="15" max="15" width="12.5703125" style="56" customWidth="1"/>
    <col min="16" max="16" width="9.140625" style="56" customWidth="1"/>
    <col min="17" max="17" width="11.5703125" style="56" customWidth="1"/>
    <col min="18" max="18" width="9.140625" style="64" customWidth="1"/>
    <col min="19" max="19" width="9.140625" style="58" customWidth="1"/>
    <col min="20" max="20" width="9.140625" style="57" customWidth="1"/>
    <col min="21" max="21" width="12.5703125" style="58" customWidth="1"/>
    <col min="22" max="22" width="9.140625" style="57"/>
    <col min="23" max="23" width="14" style="58" bestFit="1" customWidth="1"/>
    <col min="24" max="24" width="9.140625" style="265" customWidth="1"/>
    <col min="25" max="25" width="11" style="59" customWidth="1"/>
    <col min="26" max="26" width="29.7109375" style="59" customWidth="1"/>
    <col min="27" max="27" width="12.85546875" style="59" customWidth="1"/>
    <col min="28" max="28" width="12.7109375" style="57" customWidth="1"/>
    <col min="29" max="29" width="24.7109375" style="49" customWidth="1"/>
    <col min="30" max="30" width="10.42578125" style="58" customWidth="1"/>
    <col min="31" max="31" width="9.140625" style="58" customWidth="1"/>
    <col min="32" max="35" width="9.140625" style="56" customWidth="1"/>
    <col min="36" max="36" width="11.28515625" style="56" customWidth="1"/>
    <col min="37" max="42" width="10.28515625" style="56" customWidth="1"/>
    <col min="43" max="43" width="17" style="56" customWidth="1"/>
    <col min="44" max="45" width="10.28515625" style="56" customWidth="1"/>
    <col min="46" max="46" width="23.140625" style="57" customWidth="1"/>
    <col min="47" max="47" width="13.7109375" style="56" customWidth="1"/>
    <col min="48" max="48" width="31.5703125" style="213" customWidth="1"/>
    <col min="49" max="49" width="19.85546875" style="213" customWidth="1"/>
    <col min="50" max="50" width="20.140625" style="213" customWidth="1"/>
    <col min="51" max="51" width="21.140625" style="213" customWidth="1"/>
    <col min="52" max="52" width="11.7109375" style="213" customWidth="1"/>
    <col min="53" max="53" width="11.5703125" style="217" customWidth="1"/>
    <col min="54" max="54" width="24.140625" style="215" customWidth="1"/>
    <col min="55" max="55" width="73.140625" style="215" customWidth="1"/>
    <col min="56" max="64" width="9.140625" style="215" customWidth="1"/>
    <col min="65" max="16384" width="9.140625" style="215"/>
  </cols>
  <sheetData>
    <row r="1" spans="1:55" s="49" customFormat="1" ht="13.5" thickBot="1" x14ac:dyDescent="0.25">
      <c r="A1" s="257"/>
      <c r="B1" s="254" t="s">
        <v>59</v>
      </c>
      <c r="C1" s="253"/>
      <c r="D1" s="253"/>
      <c r="E1" s="253"/>
      <c r="F1" s="274" t="s">
        <v>59</v>
      </c>
      <c r="G1" s="274"/>
      <c r="H1" s="274"/>
      <c r="I1" s="275"/>
      <c r="J1" s="274"/>
      <c r="K1" s="274"/>
      <c r="L1" s="274"/>
      <c r="M1" s="276"/>
      <c r="N1" s="277" t="s">
        <v>11</v>
      </c>
      <c r="O1" s="278"/>
      <c r="P1" s="278"/>
      <c r="Q1" s="278"/>
      <c r="R1" s="279"/>
      <c r="S1" s="280"/>
      <c r="T1" s="281" t="s">
        <v>15</v>
      </c>
      <c r="U1" s="276"/>
      <c r="V1" s="277" t="s">
        <v>3</v>
      </c>
      <c r="W1" s="280"/>
      <c r="X1" s="263"/>
      <c r="Y1" s="282" t="s">
        <v>17</v>
      </c>
      <c r="Z1" s="282"/>
      <c r="AA1" s="282"/>
      <c r="AB1" s="283" t="s">
        <v>16</v>
      </c>
      <c r="AC1" s="284"/>
      <c r="AD1" s="284"/>
      <c r="AE1" s="285"/>
      <c r="AF1" s="22" t="s">
        <v>20</v>
      </c>
      <c r="AG1" s="286" t="s">
        <v>21</v>
      </c>
      <c r="AH1" s="287"/>
      <c r="AI1" s="288"/>
      <c r="AJ1" s="252"/>
      <c r="AK1" s="252"/>
      <c r="AL1" s="252"/>
      <c r="AM1" s="252"/>
      <c r="AN1" s="252"/>
      <c r="AO1" s="252"/>
      <c r="AP1" s="252"/>
      <c r="AQ1" s="252"/>
      <c r="AR1" s="252"/>
      <c r="AS1" s="252"/>
      <c r="AT1" s="271" t="s">
        <v>27</v>
      </c>
      <c r="AU1" s="272"/>
      <c r="AV1" s="272"/>
      <c r="AW1" s="272"/>
      <c r="AX1" s="272"/>
      <c r="AY1" s="272"/>
      <c r="AZ1" s="272"/>
      <c r="BA1" s="273"/>
      <c r="BB1" s="48"/>
    </row>
    <row r="2" spans="1:55" s="49" customFormat="1" ht="64.5" thickBot="1" x14ac:dyDescent="0.25">
      <c r="A2" s="132" t="s">
        <v>519</v>
      </c>
      <c r="B2" s="21" t="s">
        <v>9</v>
      </c>
      <c r="C2" s="20" t="s">
        <v>24</v>
      </c>
      <c r="D2" s="20" t="s">
        <v>10</v>
      </c>
      <c r="E2" s="50" t="s">
        <v>142</v>
      </c>
      <c r="F2" s="22" t="s">
        <v>0</v>
      </c>
      <c r="G2" s="20" t="s">
        <v>198</v>
      </c>
      <c r="H2" s="84" t="s">
        <v>380</v>
      </c>
      <c r="I2" s="95" t="s">
        <v>381</v>
      </c>
      <c r="J2" s="268" t="s">
        <v>535</v>
      </c>
      <c r="K2" s="20" t="s">
        <v>1</v>
      </c>
      <c r="L2" s="24" t="s">
        <v>371</v>
      </c>
      <c r="M2" s="255" t="s">
        <v>372</v>
      </c>
      <c r="N2" s="25" t="s">
        <v>22</v>
      </c>
      <c r="O2" s="26" t="s">
        <v>14</v>
      </c>
      <c r="P2" s="27" t="s">
        <v>23</v>
      </c>
      <c r="Q2" s="27" t="s">
        <v>13</v>
      </c>
      <c r="R2" s="65" t="s">
        <v>25</v>
      </c>
      <c r="S2" s="256" t="s">
        <v>2</v>
      </c>
      <c r="T2" s="28" t="s">
        <v>12</v>
      </c>
      <c r="U2" s="256" t="s">
        <v>2</v>
      </c>
      <c r="V2" s="29" t="s">
        <v>373</v>
      </c>
      <c r="W2" s="30" t="s">
        <v>374</v>
      </c>
      <c r="X2" s="264" t="s">
        <v>4</v>
      </c>
      <c r="Y2" s="23" t="s">
        <v>18</v>
      </c>
      <c r="Z2" s="23" t="s">
        <v>26</v>
      </c>
      <c r="AA2" s="23" t="s">
        <v>19</v>
      </c>
      <c r="AB2" s="31" t="s">
        <v>5</v>
      </c>
      <c r="AC2" s="32" t="s">
        <v>6</v>
      </c>
      <c r="AD2" s="33" t="s">
        <v>220</v>
      </c>
      <c r="AE2" s="34" t="s">
        <v>7</v>
      </c>
      <c r="AF2" s="166" t="s">
        <v>391</v>
      </c>
      <c r="AG2" s="167" t="s">
        <v>18</v>
      </c>
      <c r="AH2" s="168" t="s">
        <v>26</v>
      </c>
      <c r="AI2" s="169" t="s">
        <v>19</v>
      </c>
      <c r="AJ2" s="182" t="s">
        <v>520</v>
      </c>
      <c r="AK2" s="182" t="s">
        <v>521</v>
      </c>
      <c r="AL2" s="182" t="s">
        <v>522</v>
      </c>
      <c r="AM2" s="182" t="s">
        <v>523</v>
      </c>
      <c r="AN2" s="182" t="s">
        <v>524</v>
      </c>
      <c r="AO2" s="182" t="s">
        <v>525</v>
      </c>
      <c r="AP2" s="36" t="s">
        <v>370</v>
      </c>
      <c r="AQ2" s="36" t="s">
        <v>196</v>
      </c>
      <c r="AR2" s="36" t="s">
        <v>213</v>
      </c>
      <c r="AS2" s="36" t="s">
        <v>197</v>
      </c>
      <c r="AT2" s="35" t="s">
        <v>8</v>
      </c>
      <c r="AU2" s="35" t="s">
        <v>34</v>
      </c>
      <c r="AV2" s="35" t="s">
        <v>28</v>
      </c>
      <c r="AW2" s="35" t="s">
        <v>29</v>
      </c>
      <c r="AX2" s="36" t="s">
        <v>33</v>
      </c>
      <c r="AY2" s="36" t="s">
        <v>32</v>
      </c>
      <c r="AZ2" s="36" t="s">
        <v>30</v>
      </c>
      <c r="BA2" s="36" t="s">
        <v>31</v>
      </c>
      <c r="BB2" s="131" t="s">
        <v>518</v>
      </c>
      <c r="BC2" s="131" t="s">
        <v>530</v>
      </c>
    </row>
    <row r="3" spans="1:55" x14ac:dyDescent="0.2">
      <c r="A3" s="38" t="s">
        <v>60</v>
      </c>
      <c r="B3" s="39"/>
      <c r="C3" s="38"/>
      <c r="D3" s="38"/>
      <c r="E3" s="46" t="s">
        <v>323</v>
      </c>
      <c r="F3" s="47">
        <v>8.9</v>
      </c>
      <c r="G3" s="47" t="s">
        <v>216</v>
      </c>
      <c r="H3" s="47"/>
      <c r="I3" s="38">
        <v>1.9</v>
      </c>
      <c r="J3" s="38">
        <v>3.33</v>
      </c>
      <c r="K3" s="135">
        <f t="shared" ref="K3" si="0">(32.2*J3^2)/(2*PI())</f>
        <v>56.828274600145335</v>
      </c>
      <c r="L3" s="136">
        <f t="shared" ref="L3" si="1">I3/(3.3*(I3/K3)^(1/3))</f>
        <v>1.7872142458606295</v>
      </c>
      <c r="M3" s="136">
        <f t="shared" ref="M3" si="2">L3/0.78</f>
        <v>2.2913003152059352</v>
      </c>
      <c r="N3" s="260">
        <v>6.6086996847940602</v>
      </c>
      <c r="O3" s="136">
        <f t="shared" ref="O3" si="3">F3</f>
        <v>8.9</v>
      </c>
      <c r="P3" s="261">
        <v>49</v>
      </c>
      <c r="Q3" s="261">
        <v>51</v>
      </c>
      <c r="R3" s="79">
        <f t="shared" ref="R3:R52" si="4">(O3-N3)/(Q3-P3)</f>
        <v>1.1456501576029701</v>
      </c>
      <c r="S3" s="53">
        <f t="shared" ref="S3" si="5">1/R3</f>
        <v>0.87286681135913935</v>
      </c>
      <c r="T3" s="54">
        <f t="shared" ref="T3" si="6">O3/Q3</f>
        <v>0.17450980392156865</v>
      </c>
      <c r="U3" s="53">
        <f t="shared" ref="U3" si="7">1/T3</f>
        <v>5.7303370786516847</v>
      </c>
      <c r="V3" s="51">
        <v>0.6</v>
      </c>
      <c r="W3" s="39">
        <v>1</v>
      </c>
      <c r="X3" s="44">
        <f t="shared" ref="X3" si="8">IF(W3&lt;&gt;"",W3+F3,F3+V3)</f>
        <v>9.9</v>
      </c>
      <c r="Y3" s="38">
        <v>5.5</v>
      </c>
      <c r="Z3" s="18" t="s">
        <v>80</v>
      </c>
      <c r="AA3" s="38" t="str">
        <f>IF(Y3+F3&gt;AK3,"Yes","No")</f>
        <v>No</v>
      </c>
      <c r="AB3" s="51"/>
      <c r="AC3" s="18" t="s">
        <v>81</v>
      </c>
      <c r="AD3" s="55">
        <f>IF(F3+Y3&lt;AK3+3,F3+Y3,AK3+3)</f>
        <v>14.4</v>
      </c>
      <c r="AE3" s="39"/>
      <c r="AF3" s="18"/>
      <c r="AG3" s="18"/>
      <c r="AH3" s="18"/>
      <c r="AI3" s="18"/>
      <c r="AJ3" s="18">
        <v>2.1</v>
      </c>
      <c r="AK3" s="18">
        <v>25.9</v>
      </c>
      <c r="AL3" s="18"/>
      <c r="AM3" s="18"/>
      <c r="AN3" s="18"/>
      <c r="AO3" s="18"/>
      <c r="AP3" s="18"/>
      <c r="AQ3" s="18">
        <v>12</v>
      </c>
      <c r="AR3" s="52">
        <v>14</v>
      </c>
      <c r="AS3" s="18" t="s">
        <v>32</v>
      </c>
      <c r="AT3" s="18" t="s">
        <v>217</v>
      </c>
      <c r="AU3" s="18"/>
      <c r="AV3" s="87"/>
      <c r="AW3" s="87"/>
      <c r="AX3" s="87"/>
      <c r="AY3" s="87"/>
      <c r="AZ3" s="87"/>
      <c r="BA3" s="87"/>
      <c r="BB3" s="87"/>
      <c r="BC3" s="258" t="s">
        <v>531</v>
      </c>
    </row>
    <row r="4" spans="1:55" x14ac:dyDescent="0.2">
      <c r="A4" s="38" t="s">
        <v>69</v>
      </c>
      <c r="B4" s="39"/>
      <c r="C4" s="38"/>
      <c r="D4" s="38"/>
      <c r="E4" s="18" t="s">
        <v>183</v>
      </c>
      <c r="F4" s="47">
        <v>8.9</v>
      </c>
      <c r="G4" s="47" t="s">
        <v>215</v>
      </c>
      <c r="H4" s="47">
        <v>7</v>
      </c>
      <c r="I4" s="38">
        <f t="shared" ref="I4:I20" si="9">H4*3.27</f>
        <v>22.89</v>
      </c>
      <c r="J4" s="38">
        <v>11.1</v>
      </c>
      <c r="K4" s="135">
        <f t="shared" ref="K4:K67" si="10">(32.2*J4^2)/(2*PI())</f>
        <v>631.42527333494809</v>
      </c>
      <c r="L4" s="136">
        <f t="shared" ref="L4:L67" si="11">I4/(3.3*(I4/K4)^(1/3))</f>
        <v>20.958357407722602</v>
      </c>
      <c r="M4" s="136">
        <f t="shared" ref="M4:M67" si="12">L4/0.78</f>
        <v>26.869688984259746</v>
      </c>
      <c r="N4" s="261">
        <v>-17.969688984259747</v>
      </c>
      <c r="O4" s="136">
        <f t="shared" ref="O4:O67" si="13">F4</f>
        <v>8.9</v>
      </c>
      <c r="P4" s="261">
        <v>-753</v>
      </c>
      <c r="Q4" s="261">
        <v>236</v>
      </c>
      <c r="R4" s="79">
        <f t="shared" si="4"/>
        <v>2.7168542956784374E-2</v>
      </c>
      <c r="S4" s="53">
        <f t="shared" ref="S4:S67" si="14">1/R4</f>
        <v>36.807273823651471</v>
      </c>
      <c r="T4" s="54">
        <f t="shared" ref="T4:T67" si="15">O4/Q4</f>
        <v>3.7711864406779663E-2</v>
      </c>
      <c r="U4" s="53">
        <f t="shared" ref="U4:U67" si="16">1/T4</f>
        <v>26.516853932584269</v>
      </c>
      <c r="V4" s="51">
        <v>3.5</v>
      </c>
      <c r="W4" s="39">
        <v>4.0999999999999996</v>
      </c>
      <c r="X4" s="44">
        <f t="shared" ref="X4:X12" si="17">IF(W4&lt;&gt;"",W4+F4,F4+V4)</f>
        <v>13</v>
      </c>
      <c r="Y4" s="38">
        <v>31.2</v>
      </c>
      <c r="Z4" s="18" t="s">
        <v>91</v>
      </c>
      <c r="AA4" s="38" t="str">
        <f>IF(Y4+F4&gt;AK4,"Yes","No")</f>
        <v>Yes</v>
      </c>
      <c r="AB4" s="51"/>
      <c r="AC4" s="18" t="s">
        <v>87</v>
      </c>
      <c r="AD4" s="55">
        <f t="shared" ref="AD4:AD52" si="18">IF(F4+Y4&lt;AK4+3,F4+Y4,AK4+3)</f>
        <v>16.399999999999999</v>
      </c>
      <c r="AE4" s="39"/>
      <c r="AF4" s="18"/>
      <c r="AG4" s="18"/>
      <c r="AH4" s="18"/>
      <c r="AI4" s="18"/>
      <c r="AJ4" s="52">
        <v>7.3</v>
      </c>
      <c r="AK4" s="52">
        <v>13.4</v>
      </c>
      <c r="AL4" s="52"/>
      <c r="AM4" s="52"/>
      <c r="AN4" s="52"/>
      <c r="AO4" s="52"/>
      <c r="AP4" s="52"/>
      <c r="AQ4" s="52">
        <v>18.5</v>
      </c>
      <c r="AR4" s="52">
        <v>16</v>
      </c>
      <c r="AS4" s="52" t="s">
        <v>218</v>
      </c>
      <c r="AT4" s="18"/>
      <c r="AU4" s="18"/>
      <c r="AV4" s="87"/>
      <c r="AW4" s="87"/>
      <c r="AX4" s="87"/>
      <c r="AY4" s="87"/>
      <c r="AZ4" s="87"/>
      <c r="BA4" s="87"/>
      <c r="BB4" s="87"/>
      <c r="BC4" s="258" t="s">
        <v>533</v>
      </c>
    </row>
    <row r="5" spans="1:55" x14ac:dyDescent="0.2">
      <c r="A5" s="38" t="s">
        <v>70</v>
      </c>
      <c r="B5" s="39"/>
      <c r="C5" s="38"/>
      <c r="D5" s="38"/>
      <c r="E5" s="18" t="s">
        <v>182</v>
      </c>
      <c r="F5" s="47">
        <v>8.9</v>
      </c>
      <c r="G5" s="47" t="s">
        <v>215</v>
      </c>
      <c r="H5" s="47">
        <v>7</v>
      </c>
      <c r="I5" s="38">
        <f t="shared" si="9"/>
        <v>22.89</v>
      </c>
      <c r="J5" s="38">
        <v>11.1</v>
      </c>
      <c r="K5" s="135">
        <f t="shared" si="10"/>
        <v>631.42527333494809</v>
      </c>
      <c r="L5" s="136">
        <f t="shared" si="11"/>
        <v>20.958357407722602</v>
      </c>
      <c r="M5" s="136">
        <f t="shared" si="12"/>
        <v>26.869688984259746</v>
      </c>
      <c r="N5" s="261">
        <v>-17.969688984259747</v>
      </c>
      <c r="O5" s="136">
        <f t="shared" si="13"/>
        <v>8.9</v>
      </c>
      <c r="P5" s="261">
        <v>-999</v>
      </c>
      <c r="Q5" s="261">
        <v>120</v>
      </c>
      <c r="R5" s="79">
        <f t="shared" si="4"/>
        <v>2.401223322990147E-2</v>
      </c>
      <c r="S5" s="53">
        <f t="shared" si="14"/>
        <v>41.6454392403094</v>
      </c>
      <c r="T5" s="54">
        <f t="shared" si="15"/>
        <v>7.4166666666666672E-2</v>
      </c>
      <c r="U5" s="53">
        <f t="shared" si="16"/>
        <v>13.48314606741573</v>
      </c>
      <c r="V5" s="51">
        <v>3.4</v>
      </c>
      <c r="W5" s="39">
        <v>4.5999999999999996</v>
      </c>
      <c r="X5" s="44">
        <f t="shared" si="17"/>
        <v>13.5</v>
      </c>
      <c r="Y5" s="38">
        <v>6.95</v>
      </c>
      <c r="Z5" s="18" t="s">
        <v>90</v>
      </c>
      <c r="AA5" s="38" t="str">
        <f>IF(Y5+F5&gt;AK5,"Yes","No")</f>
        <v>Yes</v>
      </c>
      <c r="AB5" s="51"/>
      <c r="AC5" s="18" t="s">
        <v>86</v>
      </c>
      <c r="AD5" s="55">
        <f t="shared" si="18"/>
        <v>15.850000000000001</v>
      </c>
      <c r="AE5" s="39"/>
      <c r="AF5" s="18"/>
      <c r="AG5" s="18"/>
      <c r="AH5" s="18"/>
      <c r="AI5" s="18"/>
      <c r="AJ5" s="52">
        <v>6.9</v>
      </c>
      <c r="AK5" s="52">
        <v>15.6</v>
      </c>
      <c r="AL5" s="52"/>
      <c r="AM5" s="52"/>
      <c r="AN5" s="52"/>
      <c r="AO5" s="52"/>
      <c r="AP5" s="52"/>
      <c r="AQ5" s="52">
        <v>18.8</v>
      </c>
      <c r="AR5" s="52">
        <v>16</v>
      </c>
      <c r="AS5" s="52" t="s">
        <v>78</v>
      </c>
      <c r="AT5" s="18" t="s">
        <v>217</v>
      </c>
      <c r="AU5" s="18"/>
      <c r="AV5" s="87"/>
      <c r="AW5" s="87"/>
      <c r="AX5" s="87"/>
      <c r="AY5" s="87"/>
      <c r="AZ5" s="87"/>
      <c r="BA5" s="87"/>
      <c r="BB5" s="87"/>
      <c r="BC5" s="258" t="s">
        <v>533</v>
      </c>
    </row>
    <row r="6" spans="1:55" x14ac:dyDescent="0.2">
      <c r="A6" s="38" t="s">
        <v>71</v>
      </c>
      <c r="B6" s="39"/>
      <c r="C6" s="38"/>
      <c r="D6" s="38"/>
      <c r="E6" s="18" t="s">
        <v>181</v>
      </c>
      <c r="F6" s="47">
        <v>8.9</v>
      </c>
      <c r="G6" s="47" t="s">
        <v>215</v>
      </c>
      <c r="H6" s="47">
        <v>7</v>
      </c>
      <c r="I6" s="38">
        <f t="shared" si="9"/>
        <v>22.89</v>
      </c>
      <c r="J6" s="38">
        <v>11.1</v>
      </c>
      <c r="K6" s="135">
        <f t="shared" si="10"/>
        <v>631.42527333494809</v>
      </c>
      <c r="L6" s="136">
        <f t="shared" si="11"/>
        <v>20.958357407722602</v>
      </c>
      <c r="M6" s="136">
        <f t="shared" si="12"/>
        <v>26.869688984259746</v>
      </c>
      <c r="N6" s="260">
        <v>-17.969688984259747</v>
      </c>
      <c r="O6" s="136">
        <f t="shared" si="13"/>
        <v>8.9</v>
      </c>
      <c r="P6" s="261">
        <v>-240</v>
      </c>
      <c r="Q6" s="261">
        <v>551</v>
      </c>
      <c r="R6" s="79">
        <f t="shared" si="4"/>
        <v>3.3969265466826479E-2</v>
      </c>
      <c r="S6" s="53">
        <f t="shared" si="14"/>
        <v>29.438375727510934</v>
      </c>
      <c r="T6" s="54">
        <f t="shared" si="15"/>
        <v>1.6152450090744102E-2</v>
      </c>
      <c r="U6" s="53">
        <f t="shared" si="16"/>
        <v>61.91011235955056</v>
      </c>
      <c r="V6" s="51">
        <v>3.6</v>
      </c>
      <c r="W6" s="39"/>
      <c r="X6" s="44">
        <f t="shared" si="17"/>
        <v>12.5</v>
      </c>
      <c r="Y6" s="38">
        <v>9.9420000000000002</v>
      </c>
      <c r="Z6" s="18" t="s">
        <v>90</v>
      </c>
      <c r="AA6" s="38" t="str">
        <f t="shared" ref="AA6:AA8" si="19">IF(Y6+F6&gt;AK6,"Yes","No")</f>
        <v>No</v>
      </c>
      <c r="AB6" s="51"/>
      <c r="AC6" s="18" t="s">
        <v>88</v>
      </c>
      <c r="AD6" s="55">
        <f t="shared" si="18"/>
        <v>18.841999999999999</v>
      </c>
      <c r="AE6" s="39"/>
      <c r="AF6" s="18"/>
      <c r="AG6" s="18"/>
      <c r="AH6" s="18"/>
      <c r="AI6" s="18"/>
      <c r="AJ6" s="18"/>
      <c r="AK6" s="18">
        <v>19</v>
      </c>
      <c r="AL6" s="18"/>
      <c r="AM6" s="18"/>
      <c r="AN6" s="18"/>
      <c r="AO6" s="18"/>
      <c r="AP6" s="18"/>
      <c r="AQ6" s="52">
        <v>18.5</v>
      </c>
      <c r="AR6" s="18">
        <v>19</v>
      </c>
      <c r="AS6" s="52" t="s">
        <v>78</v>
      </c>
      <c r="AT6" s="18" t="s">
        <v>217</v>
      </c>
      <c r="AU6" s="18"/>
      <c r="AV6" s="87"/>
      <c r="AW6" s="87"/>
      <c r="AX6" s="87"/>
      <c r="AY6" s="87"/>
      <c r="AZ6" s="87"/>
      <c r="BA6" s="87"/>
      <c r="BB6" s="87"/>
      <c r="BC6" s="258" t="s">
        <v>533</v>
      </c>
    </row>
    <row r="7" spans="1:55" s="216" customFormat="1" x14ac:dyDescent="0.2">
      <c r="A7" s="38" t="s">
        <v>72</v>
      </c>
      <c r="B7" s="39"/>
      <c r="C7" s="38"/>
      <c r="D7" s="38"/>
      <c r="E7" s="18" t="s">
        <v>180</v>
      </c>
      <c r="F7" s="47">
        <v>8.9</v>
      </c>
      <c r="G7" s="47" t="s">
        <v>215</v>
      </c>
      <c r="H7" s="47">
        <v>7</v>
      </c>
      <c r="I7" s="38">
        <f t="shared" si="9"/>
        <v>22.89</v>
      </c>
      <c r="J7" s="38">
        <v>11.1</v>
      </c>
      <c r="K7" s="135">
        <f t="shared" si="10"/>
        <v>631.42527333494809</v>
      </c>
      <c r="L7" s="136">
        <f t="shared" si="11"/>
        <v>20.958357407722602</v>
      </c>
      <c r="M7" s="136">
        <f t="shared" si="12"/>
        <v>26.869688984259746</v>
      </c>
      <c r="N7" s="261">
        <v>-17.969688984259747</v>
      </c>
      <c r="O7" s="136">
        <f t="shared" si="13"/>
        <v>8.9</v>
      </c>
      <c r="P7" s="261">
        <v>-1260</v>
      </c>
      <c r="Q7" s="261">
        <v>40</v>
      </c>
      <c r="R7" s="79">
        <f t="shared" si="4"/>
        <v>2.0668991526353649E-2</v>
      </c>
      <c r="S7" s="53">
        <f t="shared" si="14"/>
        <v>48.381654166579288</v>
      </c>
      <c r="T7" s="54">
        <f t="shared" si="15"/>
        <v>0.2225</v>
      </c>
      <c r="U7" s="53">
        <f t="shared" si="16"/>
        <v>4.4943820224719104</v>
      </c>
      <c r="V7" s="51">
        <v>3.3</v>
      </c>
      <c r="W7" s="39"/>
      <c r="X7" s="44">
        <f t="shared" si="17"/>
        <v>12.2</v>
      </c>
      <c r="Y7" s="38">
        <v>11.5</v>
      </c>
      <c r="Z7" s="18" t="s">
        <v>92</v>
      </c>
      <c r="AA7" s="38" t="str">
        <f t="shared" si="19"/>
        <v>Yes</v>
      </c>
      <c r="AB7" s="51"/>
      <c r="AC7" s="18" t="s">
        <v>88</v>
      </c>
      <c r="AD7" s="55">
        <f t="shared" si="18"/>
        <v>20</v>
      </c>
      <c r="AE7" s="39"/>
      <c r="AF7" s="18"/>
      <c r="AG7" s="18"/>
      <c r="AH7" s="18"/>
      <c r="AI7" s="18"/>
      <c r="AJ7" s="18"/>
      <c r="AK7" s="18">
        <v>17</v>
      </c>
      <c r="AL7" s="18"/>
      <c r="AM7" s="18"/>
      <c r="AN7" s="18"/>
      <c r="AO7" s="18"/>
      <c r="AP7" s="18"/>
      <c r="AQ7" s="52">
        <v>17.8</v>
      </c>
      <c r="AR7" s="52">
        <v>17</v>
      </c>
      <c r="AS7" s="52" t="s">
        <v>78</v>
      </c>
      <c r="AT7" s="18" t="s">
        <v>217</v>
      </c>
      <c r="AU7" s="18"/>
      <c r="AV7" s="87"/>
      <c r="AW7" s="87"/>
      <c r="AX7" s="87"/>
      <c r="AY7" s="87"/>
      <c r="AZ7" s="87"/>
      <c r="BA7" s="87"/>
      <c r="BB7" s="87"/>
      <c r="BC7" s="258" t="s">
        <v>533</v>
      </c>
    </row>
    <row r="8" spans="1:55" x14ac:dyDescent="0.2">
      <c r="A8" s="38" t="s">
        <v>73</v>
      </c>
      <c r="B8" s="39"/>
      <c r="C8" s="38"/>
      <c r="D8" s="38"/>
      <c r="E8" s="38" t="s">
        <v>179</v>
      </c>
      <c r="F8" s="47">
        <v>8.9</v>
      </c>
      <c r="G8" s="47" t="s">
        <v>215</v>
      </c>
      <c r="H8" s="47">
        <v>7</v>
      </c>
      <c r="I8" s="38">
        <f t="shared" si="9"/>
        <v>22.89</v>
      </c>
      <c r="J8" s="38">
        <v>11.1</v>
      </c>
      <c r="K8" s="135">
        <f t="shared" si="10"/>
        <v>631.42527333494809</v>
      </c>
      <c r="L8" s="136">
        <f t="shared" si="11"/>
        <v>20.958357407722602</v>
      </c>
      <c r="M8" s="136">
        <f t="shared" si="12"/>
        <v>26.869688984259746</v>
      </c>
      <c r="N8" s="261">
        <v>-17.969688984259747</v>
      </c>
      <c r="O8" s="136">
        <f t="shared" si="13"/>
        <v>8.9</v>
      </c>
      <c r="P8" s="261">
        <v>-1520</v>
      </c>
      <c r="Q8" s="261">
        <v>186</v>
      </c>
      <c r="R8" s="79">
        <f t="shared" si="4"/>
        <v>1.5750110776236663E-2</v>
      </c>
      <c r="S8" s="53">
        <f t="shared" si="14"/>
        <v>63.491616929372505</v>
      </c>
      <c r="T8" s="54">
        <f t="shared" si="15"/>
        <v>4.78494623655914E-2</v>
      </c>
      <c r="U8" s="53">
        <f t="shared" si="16"/>
        <v>20.898876404494381</v>
      </c>
      <c r="V8" s="51">
        <v>3.1</v>
      </c>
      <c r="W8" s="39"/>
      <c r="X8" s="44">
        <f t="shared" si="17"/>
        <v>12</v>
      </c>
      <c r="Y8" s="38">
        <v>12.2</v>
      </c>
      <c r="Z8" s="18" t="s">
        <v>92</v>
      </c>
      <c r="AA8" s="38" t="str">
        <f t="shared" si="19"/>
        <v>Yes</v>
      </c>
      <c r="AB8" s="51"/>
      <c r="AC8" s="18" t="s">
        <v>87</v>
      </c>
      <c r="AD8" s="55">
        <f t="shared" si="18"/>
        <v>18.399999999999999</v>
      </c>
      <c r="AE8" s="39"/>
      <c r="AF8" s="18"/>
      <c r="AG8" s="18"/>
      <c r="AH8" s="18"/>
      <c r="AI8" s="18"/>
      <c r="AJ8" s="18">
        <v>10.7</v>
      </c>
      <c r="AK8" s="18">
        <v>15.4</v>
      </c>
      <c r="AL8" s="18"/>
      <c r="AM8" s="18"/>
      <c r="AN8" s="18"/>
      <c r="AO8" s="18"/>
      <c r="AP8" s="18"/>
      <c r="AQ8" s="52">
        <v>16.399999999999999</v>
      </c>
      <c r="AR8" s="52">
        <v>14</v>
      </c>
      <c r="AS8" s="52" t="s">
        <v>78</v>
      </c>
      <c r="AT8" s="18" t="s">
        <v>217</v>
      </c>
      <c r="AU8" s="18"/>
      <c r="AV8" s="87"/>
      <c r="AW8" s="87"/>
      <c r="AX8" s="87"/>
      <c r="AY8" s="87"/>
      <c r="AZ8" s="87"/>
      <c r="BA8" s="87"/>
      <c r="BB8" s="87"/>
      <c r="BC8" s="258" t="s">
        <v>533</v>
      </c>
    </row>
    <row r="9" spans="1:55" x14ac:dyDescent="0.2">
      <c r="A9" s="38" t="s">
        <v>74</v>
      </c>
      <c r="B9" s="39"/>
      <c r="C9" s="38"/>
      <c r="D9" s="38"/>
      <c r="E9" s="18" t="s">
        <v>178</v>
      </c>
      <c r="F9" s="47">
        <v>8.9</v>
      </c>
      <c r="G9" s="47" t="s">
        <v>215</v>
      </c>
      <c r="H9" s="47">
        <v>7</v>
      </c>
      <c r="I9" s="38">
        <f t="shared" si="9"/>
        <v>22.89</v>
      </c>
      <c r="J9" s="38">
        <v>11.1</v>
      </c>
      <c r="K9" s="135">
        <f t="shared" si="10"/>
        <v>631.42527333494809</v>
      </c>
      <c r="L9" s="136">
        <f t="shared" si="11"/>
        <v>20.958357407722602</v>
      </c>
      <c r="M9" s="136">
        <f t="shared" si="12"/>
        <v>26.869688984259746</v>
      </c>
      <c r="N9" s="261">
        <v>-17.969688984259747</v>
      </c>
      <c r="O9" s="136">
        <f t="shared" si="13"/>
        <v>8.9</v>
      </c>
      <c r="P9" s="261">
        <v>-658</v>
      </c>
      <c r="Q9" s="261">
        <v>159</v>
      </c>
      <c r="R9" s="79">
        <f t="shared" si="4"/>
        <v>3.2888236210844239E-2</v>
      </c>
      <c r="S9" s="53">
        <f t="shared" si="14"/>
        <v>30.406008810842522</v>
      </c>
      <c r="T9" s="54">
        <f t="shared" si="15"/>
        <v>5.5974842767295599E-2</v>
      </c>
      <c r="U9" s="53">
        <f t="shared" si="16"/>
        <v>17.865168539325843</v>
      </c>
      <c r="V9" s="51">
        <v>3.6</v>
      </c>
      <c r="W9" s="39">
        <v>4.7</v>
      </c>
      <c r="X9" s="44">
        <f t="shared" si="17"/>
        <v>13.600000000000001</v>
      </c>
      <c r="Y9" s="38">
        <v>12.7</v>
      </c>
      <c r="Z9" s="18" t="s">
        <v>92</v>
      </c>
      <c r="AA9" s="38" t="str">
        <f t="shared" ref="AA9:AA52" si="20">IF(Y9+F9&gt;AK9,"Yes","No")</f>
        <v>Yes</v>
      </c>
      <c r="AB9" s="51"/>
      <c r="AC9" s="18" t="s">
        <v>87</v>
      </c>
      <c r="AD9" s="55">
        <f t="shared" si="18"/>
        <v>15.9</v>
      </c>
      <c r="AE9" s="39"/>
      <c r="AF9" s="18"/>
      <c r="AG9" s="18"/>
      <c r="AH9" s="18"/>
      <c r="AI9" s="18"/>
      <c r="AJ9" s="18">
        <v>1.1000000000000001</v>
      </c>
      <c r="AK9" s="18">
        <v>12.9</v>
      </c>
      <c r="AL9" s="18"/>
      <c r="AM9" s="18"/>
      <c r="AN9" s="18"/>
      <c r="AO9" s="18"/>
      <c r="AP9" s="18"/>
      <c r="AQ9" s="52">
        <v>17.2</v>
      </c>
      <c r="AR9" s="52">
        <v>15</v>
      </c>
      <c r="AS9" s="52" t="s">
        <v>78</v>
      </c>
      <c r="AT9" s="18" t="s">
        <v>217</v>
      </c>
      <c r="AU9" s="18"/>
      <c r="AV9" s="87"/>
      <c r="AW9" s="87"/>
      <c r="AX9" s="87"/>
      <c r="AY9" s="87"/>
      <c r="AZ9" s="87"/>
      <c r="BA9" s="87"/>
      <c r="BB9" s="87"/>
      <c r="BC9" s="258" t="s">
        <v>533</v>
      </c>
    </row>
    <row r="10" spans="1:55" x14ac:dyDescent="0.2">
      <c r="A10" s="38" t="s">
        <v>75</v>
      </c>
      <c r="B10" s="39"/>
      <c r="C10" s="38"/>
      <c r="D10" s="38"/>
      <c r="E10" s="18" t="s">
        <v>177</v>
      </c>
      <c r="F10" s="47">
        <v>8.9</v>
      </c>
      <c r="G10" s="47" t="s">
        <v>215</v>
      </c>
      <c r="H10" s="47">
        <v>7</v>
      </c>
      <c r="I10" s="38">
        <f t="shared" si="9"/>
        <v>22.89</v>
      </c>
      <c r="J10" s="38">
        <v>11.1</v>
      </c>
      <c r="K10" s="135">
        <f t="shared" si="10"/>
        <v>631.42527333494809</v>
      </c>
      <c r="L10" s="136">
        <f t="shared" si="11"/>
        <v>20.958357407722602</v>
      </c>
      <c r="M10" s="136">
        <f t="shared" si="12"/>
        <v>26.869688984259746</v>
      </c>
      <c r="N10" s="261">
        <v>-17.969688984259747</v>
      </c>
      <c r="O10" s="136">
        <f t="shared" si="13"/>
        <v>8.9</v>
      </c>
      <c r="P10" s="261">
        <v>-475</v>
      </c>
      <c r="Q10" s="261">
        <v>89</v>
      </c>
      <c r="R10" s="79">
        <f t="shared" si="4"/>
        <v>4.7641292525283235E-2</v>
      </c>
      <c r="S10" s="53">
        <f t="shared" si="14"/>
        <v>20.990194576885166</v>
      </c>
      <c r="T10" s="54">
        <f t="shared" si="15"/>
        <v>0.1</v>
      </c>
      <c r="U10" s="53">
        <f t="shared" si="16"/>
        <v>10</v>
      </c>
      <c r="V10" s="51">
        <v>3.9</v>
      </c>
      <c r="W10" s="39"/>
      <c r="X10" s="44">
        <f t="shared" si="17"/>
        <v>12.8</v>
      </c>
      <c r="Y10" s="38">
        <v>8.4</v>
      </c>
      <c r="Z10" s="18" t="s">
        <v>80</v>
      </c>
      <c r="AA10" s="38" t="str">
        <f t="shared" si="20"/>
        <v>Yes</v>
      </c>
      <c r="AB10" s="51"/>
      <c r="AC10" s="18" t="s">
        <v>89</v>
      </c>
      <c r="AD10" s="55">
        <f t="shared" si="18"/>
        <v>17.3</v>
      </c>
      <c r="AE10" s="39"/>
      <c r="AF10" s="18"/>
      <c r="AG10" s="18"/>
      <c r="AH10" s="18"/>
      <c r="AI10" s="18"/>
      <c r="AJ10" s="18">
        <v>4.6100000000000003</v>
      </c>
      <c r="AK10" s="18">
        <v>15.7</v>
      </c>
      <c r="AL10" s="18"/>
      <c r="AM10" s="18"/>
      <c r="AN10" s="18"/>
      <c r="AO10" s="18"/>
      <c r="AP10" s="18"/>
      <c r="AQ10" s="52">
        <v>18.100000000000001</v>
      </c>
      <c r="AR10" s="52">
        <v>17</v>
      </c>
      <c r="AS10" s="52" t="s">
        <v>78</v>
      </c>
      <c r="AT10" s="18"/>
      <c r="AU10" s="18"/>
      <c r="AV10" s="87"/>
      <c r="AW10" s="87"/>
      <c r="AX10" s="87"/>
      <c r="AY10" s="87"/>
      <c r="AZ10" s="87"/>
      <c r="BA10" s="87"/>
      <c r="BB10" s="87"/>
      <c r="BC10" s="258" t="s">
        <v>533</v>
      </c>
    </row>
    <row r="11" spans="1:55" x14ac:dyDescent="0.2">
      <c r="A11" s="38" t="s">
        <v>76</v>
      </c>
      <c r="B11" s="39"/>
      <c r="C11" s="38"/>
      <c r="D11" s="38"/>
      <c r="E11" s="18" t="s">
        <v>176</v>
      </c>
      <c r="F11" s="47">
        <v>8.9</v>
      </c>
      <c r="G11" s="47" t="s">
        <v>215</v>
      </c>
      <c r="H11" s="47">
        <v>7</v>
      </c>
      <c r="I11" s="38">
        <f t="shared" si="9"/>
        <v>22.89</v>
      </c>
      <c r="J11" s="38">
        <v>11.1</v>
      </c>
      <c r="K11" s="135">
        <f t="shared" si="10"/>
        <v>631.42527333494809</v>
      </c>
      <c r="L11" s="136">
        <f t="shared" si="11"/>
        <v>20.958357407722602</v>
      </c>
      <c r="M11" s="136">
        <f t="shared" si="12"/>
        <v>26.869688984259746</v>
      </c>
      <c r="N11" s="261">
        <v>-17.969688984259747</v>
      </c>
      <c r="O11" s="136">
        <f t="shared" si="13"/>
        <v>8.9</v>
      </c>
      <c r="P11" s="261">
        <v>-1174</v>
      </c>
      <c r="Q11" s="261">
        <v>75</v>
      </c>
      <c r="R11" s="79">
        <f t="shared" si="4"/>
        <v>2.151296155665312E-2</v>
      </c>
      <c r="S11" s="53">
        <f t="shared" si="14"/>
        <v>46.483604656967323</v>
      </c>
      <c r="T11" s="54">
        <f t="shared" si="15"/>
        <v>0.11866666666666667</v>
      </c>
      <c r="U11" s="53">
        <f t="shared" si="16"/>
        <v>8.4269662921348321</v>
      </c>
      <c r="V11" s="51">
        <v>3.3</v>
      </c>
      <c r="W11" s="39">
        <v>4.5999999999999996</v>
      </c>
      <c r="X11" s="44">
        <f t="shared" si="17"/>
        <v>13.5</v>
      </c>
      <c r="Y11" s="38">
        <v>12.9</v>
      </c>
      <c r="Z11" s="18" t="s">
        <v>92</v>
      </c>
      <c r="AA11" s="38" t="str">
        <f t="shared" si="20"/>
        <v>Yes</v>
      </c>
      <c r="AB11" s="51"/>
      <c r="AC11" s="18" t="s">
        <v>86</v>
      </c>
      <c r="AD11" s="55">
        <f t="shared" si="18"/>
        <v>19.399999999999999</v>
      </c>
      <c r="AE11" s="39"/>
      <c r="AF11" s="18"/>
      <c r="AG11" s="18"/>
      <c r="AH11" s="18"/>
      <c r="AI11" s="18"/>
      <c r="AJ11" s="18">
        <v>-0.6</v>
      </c>
      <c r="AK11" s="18">
        <v>16.399999999999999</v>
      </c>
      <c r="AL11" s="18"/>
      <c r="AM11" s="18"/>
      <c r="AN11" s="18"/>
      <c r="AO11" s="18"/>
      <c r="AP11" s="18"/>
      <c r="AQ11" s="52">
        <v>18.2</v>
      </c>
      <c r="AR11" s="52">
        <v>16</v>
      </c>
      <c r="AS11" s="52" t="s">
        <v>218</v>
      </c>
      <c r="AT11" s="18"/>
      <c r="AU11" s="18"/>
      <c r="AV11" s="87"/>
      <c r="AW11" s="87"/>
      <c r="AX11" s="87"/>
      <c r="AY11" s="87"/>
      <c r="AZ11" s="87"/>
      <c r="BA11" s="87"/>
      <c r="BB11" s="87"/>
      <c r="BC11" s="258" t="s">
        <v>533</v>
      </c>
    </row>
    <row r="12" spans="1:55" x14ac:dyDescent="0.2">
      <c r="A12" s="38" t="s">
        <v>77</v>
      </c>
      <c r="B12" s="39"/>
      <c r="C12" s="38"/>
      <c r="D12" s="38"/>
      <c r="E12" s="18" t="s">
        <v>175</v>
      </c>
      <c r="F12" s="47">
        <v>8.9</v>
      </c>
      <c r="G12" s="47" t="s">
        <v>215</v>
      </c>
      <c r="H12" s="47">
        <v>7</v>
      </c>
      <c r="I12" s="38">
        <f t="shared" si="9"/>
        <v>22.89</v>
      </c>
      <c r="J12" s="38">
        <v>11.1</v>
      </c>
      <c r="K12" s="135">
        <f t="shared" si="10"/>
        <v>631.42527333494809</v>
      </c>
      <c r="L12" s="136">
        <f t="shared" si="11"/>
        <v>20.958357407722602</v>
      </c>
      <c r="M12" s="136">
        <f t="shared" si="12"/>
        <v>26.869688984259746</v>
      </c>
      <c r="N12" s="260">
        <v>-17.969688984259747</v>
      </c>
      <c r="O12" s="136">
        <f t="shared" si="13"/>
        <v>8.9</v>
      </c>
      <c r="P12" s="261">
        <v>-346</v>
      </c>
      <c r="Q12" s="261">
        <v>506</v>
      </c>
      <c r="R12" s="79">
        <f t="shared" si="4"/>
        <v>3.1537193643497351E-2</v>
      </c>
      <c r="S12" s="53">
        <f t="shared" si="14"/>
        <v>31.708591807635042</v>
      </c>
      <c r="T12" s="54">
        <f t="shared" si="15"/>
        <v>1.758893280632411E-2</v>
      </c>
      <c r="U12" s="53">
        <f t="shared" si="16"/>
        <v>56.853932584269664</v>
      </c>
      <c r="V12" s="51">
        <v>3.6</v>
      </c>
      <c r="W12" s="39"/>
      <c r="X12" s="44">
        <f t="shared" si="17"/>
        <v>12.5</v>
      </c>
      <c r="Y12" s="38">
        <v>7.8280000000000003</v>
      </c>
      <c r="Z12" s="18" t="s">
        <v>90</v>
      </c>
      <c r="AA12" s="38" t="str">
        <f t="shared" si="20"/>
        <v>Yes</v>
      </c>
      <c r="AB12" s="51"/>
      <c r="AC12" s="18" t="s">
        <v>88</v>
      </c>
      <c r="AD12" s="55">
        <f t="shared" si="18"/>
        <v>16.728000000000002</v>
      </c>
      <c r="AE12" s="39"/>
      <c r="AF12" s="18"/>
      <c r="AG12" s="18"/>
      <c r="AH12" s="18"/>
      <c r="AI12" s="18"/>
      <c r="AJ12" s="18"/>
      <c r="AK12" s="18">
        <v>14.7</v>
      </c>
      <c r="AL12" s="18"/>
      <c r="AM12" s="18"/>
      <c r="AN12" s="18"/>
      <c r="AO12" s="18"/>
      <c r="AP12" s="18"/>
      <c r="AQ12" s="52">
        <v>17.8</v>
      </c>
      <c r="AR12" s="18">
        <v>17</v>
      </c>
      <c r="AS12" s="52" t="s">
        <v>78</v>
      </c>
      <c r="AT12" s="18"/>
      <c r="AU12" s="18"/>
      <c r="AV12" s="87"/>
      <c r="AW12" s="87"/>
      <c r="AX12" s="87"/>
      <c r="AY12" s="87"/>
      <c r="AZ12" s="87"/>
      <c r="BA12" s="87"/>
      <c r="BB12" s="161"/>
      <c r="BC12" s="258" t="s">
        <v>533</v>
      </c>
    </row>
    <row r="13" spans="1:55" x14ac:dyDescent="0.2">
      <c r="A13" s="38" t="s">
        <v>61</v>
      </c>
      <c r="B13" s="39"/>
      <c r="C13" s="38"/>
      <c r="D13" s="38"/>
      <c r="E13" s="38" t="s">
        <v>191</v>
      </c>
      <c r="F13" s="47">
        <v>8.9</v>
      </c>
      <c r="G13" s="259" t="s">
        <v>212</v>
      </c>
      <c r="H13" s="47">
        <v>3.7</v>
      </c>
      <c r="I13" s="38">
        <f t="shared" si="9"/>
        <v>12.099</v>
      </c>
      <c r="J13" s="38">
        <v>11.1</v>
      </c>
      <c r="K13" s="135">
        <f t="shared" si="10"/>
        <v>631.42527333494809</v>
      </c>
      <c r="L13" s="136">
        <f t="shared" si="11"/>
        <v>13.701234462040405</v>
      </c>
      <c r="M13" s="136">
        <f t="shared" si="12"/>
        <v>17.56568520774411</v>
      </c>
      <c r="N13" s="261">
        <v>-8.6656852077441098</v>
      </c>
      <c r="O13" s="136">
        <f t="shared" si="13"/>
        <v>8.9</v>
      </c>
      <c r="P13" s="261">
        <v>-3050</v>
      </c>
      <c r="Q13" s="261">
        <v>67</v>
      </c>
      <c r="R13" s="79">
        <f t="shared" si="4"/>
        <v>5.6354460082592593E-3</v>
      </c>
      <c r="S13" s="53">
        <f t="shared" si="14"/>
        <v>177.44824429768451</v>
      </c>
      <c r="T13" s="54">
        <f t="shared" si="15"/>
        <v>0.1328358208955224</v>
      </c>
      <c r="U13" s="53">
        <f t="shared" si="16"/>
        <v>7.5280898876404487</v>
      </c>
      <c r="V13" s="51">
        <v>1.5</v>
      </c>
      <c r="W13" s="39"/>
      <c r="X13" s="44">
        <f t="shared" ref="X13:X34" si="21">IF(W13&gt;0, F13+W13, F13+V13)</f>
        <v>10.4</v>
      </c>
      <c r="Y13" s="38">
        <v>2.21</v>
      </c>
      <c r="Z13" s="18" t="s">
        <v>79</v>
      </c>
      <c r="AA13" s="38" t="str">
        <f t="shared" si="20"/>
        <v>No</v>
      </c>
      <c r="AB13" s="51"/>
      <c r="AC13" s="18" t="s">
        <v>82</v>
      </c>
      <c r="AD13" s="55">
        <f t="shared" si="18"/>
        <v>11.11</v>
      </c>
      <c r="AE13" s="39"/>
      <c r="AF13" s="18"/>
      <c r="AG13" s="18"/>
      <c r="AH13" s="18"/>
      <c r="AI13" s="18"/>
      <c r="AJ13" s="18"/>
      <c r="AK13" s="18">
        <v>16</v>
      </c>
      <c r="AL13" s="18"/>
      <c r="AM13" s="18"/>
      <c r="AN13" s="18"/>
      <c r="AO13" s="18"/>
      <c r="AP13" s="18"/>
      <c r="AQ13" s="18">
        <v>12.7</v>
      </c>
      <c r="AR13" s="18">
        <v>12</v>
      </c>
      <c r="AS13" s="18" t="s">
        <v>78</v>
      </c>
      <c r="AT13" s="18" t="s">
        <v>217</v>
      </c>
      <c r="AU13" s="18"/>
      <c r="AV13" s="87"/>
      <c r="AW13" s="87"/>
      <c r="AX13" s="87" t="s">
        <v>211</v>
      </c>
      <c r="AY13" s="87"/>
      <c r="AZ13" s="87"/>
      <c r="BA13" s="87"/>
      <c r="BB13" s="87"/>
      <c r="BC13" s="258" t="s">
        <v>532</v>
      </c>
    </row>
    <row r="14" spans="1:55" x14ac:dyDescent="0.2">
      <c r="A14" s="38" t="s">
        <v>62</v>
      </c>
      <c r="B14" s="39"/>
      <c r="C14" s="38"/>
      <c r="D14" s="38"/>
      <c r="E14" s="18" t="s">
        <v>190</v>
      </c>
      <c r="F14" s="47">
        <v>8.9</v>
      </c>
      <c r="G14" s="47" t="s">
        <v>215</v>
      </c>
      <c r="H14" s="47">
        <v>7</v>
      </c>
      <c r="I14" s="38">
        <f t="shared" si="9"/>
        <v>22.89</v>
      </c>
      <c r="J14" s="38">
        <v>11.1</v>
      </c>
      <c r="K14" s="135">
        <f t="shared" si="10"/>
        <v>631.42527333494809</v>
      </c>
      <c r="L14" s="136">
        <f t="shared" si="11"/>
        <v>20.958357407722602</v>
      </c>
      <c r="M14" s="136">
        <f t="shared" si="12"/>
        <v>26.869688984259746</v>
      </c>
      <c r="N14" s="261">
        <v>-17.969688984259747</v>
      </c>
      <c r="O14" s="136">
        <f t="shared" si="13"/>
        <v>8.9</v>
      </c>
      <c r="P14" s="261">
        <v>-3325</v>
      </c>
      <c r="Q14" s="261">
        <v>90</v>
      </c>
      <c r="R14" s="79">
        <f t="shared" si="4"/>
        <v>7.8681373306763534E-3</v>
      </c>
      <c r="S14" s="53">
        <f t="shared" si="14"/>
        <v>127.09488382989865</v>
      </c>
      <c r="T14" s="54">
        <f t="shared" si="15"/>
        <v>9.8888888888888887E-2</v>
      </c>
      <c r="U14" s="53">
        <f t="shared" si="16"/>
        <v>10.112359550561798</v>
      </c>
      <c r="V14" s="51">
        <v>2.7</v>
      </c>
      <c r="W14" s="39"/>
      <c r="X14" s="44">
        <f t="shared" si="21"/>
        <v>11.600000000000001</v>
      </c>
      <c r="Y14" s="38">
        <v>22.3</v>
      </c>
      <c r="Z14" s="18" t="s">
        <v>80</v>
      </c>
      <c r="AA14" s="38" t="str">
        <f t="shared" si="20"/>
        <v>Yes</v>
      </c>
      <c r="AB14" s="51"/>
      <c r="AC14" s="18" t="s">
        <v>81</v>
      </c>
      <c r="AD14" s="55">
        <f t="shared" si="18"/>
        <v>24</v>
      </c>
      <c r="AE14" s="39"/>
      <c r="AF14" s="18"/>
      <c r="AG14" s="18"/>
      <c r="AH14" s="18"/>
      <c r="AI14" s="18"/>
      <c r="AJ14" s="18">
        <v>-5.57</v>
      </c>
      <c r="AK14" s="18">
        <v>21</v>
      </c>
      <c r="AL14" s="18"/>
      <c r="AM14" s="18"/>
      <c r="AN14" s="18"/>
      <c r="AO14" s="18"/>
      <c r="AP14" s="18"/>
      <c r="AQ14" s="18">
        <v>17.3</v>
      </c>
      <c r="AR14" s="52">
        <v>24</v>
      </c>
      <c r="AS14" s="18" t="s">
        <v>32</v>
      </c>
      <c r="AT14" s="18"/>
      <c r="AU14" s="18"/>
      <c r="AV14" s="87"/>
      <c r="AW14" s="87"/>
      <c r="AX14" s="87"/>
      <c r="AY14" s="87"/>
      <c r="AZ14" s="87"/>
      <c r="BA14" s="87"/>
      <c r="BB14" s="87"/>
      <c r="BC14" s="258" t="s">
        <v>533</v>
      </c>
    </row>
    <row r="15" spans="1:55" x14ac:dyDescent="0.2">
      <c r="A15" s="38" t="s">
        <v>63</v>
      </c>
      <c r="B15" s="39"/>
      <c r="C15" s="38"/>
      <c r="D15" s="38"/>
      <c r="E15" s="18" t="s">
        <v>189</v>
      </c>
      <c r="F15" s="47">
        <v>8.9</v>
      </c>
      <c r="G15" s="259" t="s">
        <v>212</v>
      </c>
      <c r="H15" s="47">
        <v>3.66</v>
      </c>
      <c r="I15" s="38">
        <f t="shared" si="9"/>
        <v>11.968200000000001</v>
      </c>
      <c r="J15" s="38">
        <v>11.1</v>
      </c>
      <c r="K15" s="135">
        <f t="shared" si="10"/>
        <v>631.42527333494809</v>
      </c>
      <c r="L15" s="136">
        <f t="shared" si="11"/>
        <v>13.602308042291069</v>
      </c>
      <c r="M15" s="136">
        <f t="shared" si="12"/>
        <v>17.43885646447573</v>
      </c>
      <c r="N15" s="261">
        <v>-8.5388564644757299</v>
      </c>
      <c r="O15" s="136">
        <f t="shared" si="13"/>
        <v>8.9</v>
      </c>
      <c r="P15" s="261">
        <v>-1288</v>
      </c>
      <c r="Q15" s="261">
        <v>66</v>
      </c>
      <c r="R15" s="79">
        <f t="shared" si="4"/>
        <v>1.2879509944221367E-2</v>
      </c>
      <c r="S15" s="53">
        <f t="shared" si="14"/>
        <v>77.642705687623518</v>
      </c>
      <c r="T15" s="54">
        <f t="shared" si="15"/>
        <v>0.13484848484848486</v>
      </c>
      <c r="U15" s="53">
        <f t="shared" si="16"/>
        <v>7.4157303370786511</v>
      </c>
      <c r="V15" s="51">
        <v>1.8</v>
      </c>
      <c r="W15" s="39">
        <v>1.8</v>
      </c>
      <c r="X15" s="44">
        <f t="shared" si="21"/>
        <v>10.700000000000001</v>
      </c>
      <c r="Y15" s="38">
        <v>9.1999999999999993</v>
      </c>
      <c r="Z15" s="18" t="s">
        <v>90</v>
      </c>
      <c r="AA15" s="38" t="str">
        <f t="shared" si="20"/>
        <v>Yes</v>
      </c>
      <c r="AB15" s="51"/>
      <c r="AC15" s="18" t="s">
        <v>83</v>
      </c>
      <c r="AD15" s="55">
        <f t="shared" si="18"/>
        <v>16.899999999999999</v>
      </c>
      <c r="AE15" s="39"/>
      <c r="AF15" s="18"/>
      <c r="AG15" s="18"/>
      <c r="AH15" s="18"/>
      <c r="AI15" s="18"/>
      <c r="AJ15" s="18">
        <f>AK15-6.22</f>
        <v>7.6800000000000006</v>
      </c>
      <c r="AK15" s="18">
        <v>13.9</v>
      </c>
      <c r="AL15" s="18"/>
      <c r="AM15" s="18"/>
      <c r="AN15" s="18"/>
      <c r="AO15" s="18"/>
      <c r="AP15" s="18"/>
      <c r="AQ15" s="18">
        <v>16.399999999999999</v>
      </c>
      <c r="AR15" s="52">
        <v>13</v>
      </c>
      <c r="AS15" s="52" t="s">
        <v>78</v>
      </c>
      <c r="AT15" s="18" t="s">
        <v>217</v>
      </c>
      <c r="AU15" s="18"/>
      <c r="AV15" s="87" t="s">
        <v>214</v>
      </c>
      <c r="AW15" s="87"/>
      <c r="AX15" s="87"/>
      <c r="AY15" s="87"/>
      <c r="AZ15" s="87"/>
      <c r="BA15" s="87"/>
      <c r="BB15" s="87"/>
      <c r="BC15" s="258" t="s">
        <v>532</v>
      </c>
    </row>
    <row r="16" spans="1:55" x14ac:dyDescent="0.2">
      <c r="A16" s="38" t="s">
        <v>64</v>
      </c>
      <c r="B16" s="39"/>
      <c r="C16" s="38"/>
      <c r="D16" s="38"/>
      <c r="E16" s="18" t="s">
        <v>188</v>
      </c>
      <c r="F16" s="47">
        <v>8.9</v>
      </c>
      <c r="G16" s="259" t="s">
        <v>212</v>
      </c>
      <c r="H16" s="47">
        <v>3.66</v>
      </c>
      <c r="I16" s="38">
        <f t="shared" si="9"/>
        <v>11.968200000000001</v>
      </c>
      <c r="J16" s="38">
        <v>11.1</v>
      </c>
      <c r="K16" s="135">
        <f t="shared" si="10"/>
        <v>631.42527333494809</v>
      </c>
      <c r="L16" s="136">
        <f t="shared" si="11"/>
        <v>13.602308042291069</v>
      </c>
      <c r="M16" s="136">
        <f t="shared" si="12"/>
        <v>17.43885646447573</v>
      </c>
      <c r="N16" s="261">
        <v>-8.5388564644757299</v>
      </c>
      <c r="O16" s="136">
        <f t="shared" si="13"/>
        <v>8.9</v>
      </c>
      <c r="P16" s="261">
        <v>-743</v>
      </c>
      <c r="Q16" s="261">
        <v>88</v>
      </c>
      <c r="R16" s="79">
        <f t="shared" si="4"/>
        <v>2.0985386840524343E-2</v>
      </c>
      <c r="S16" s="53">
        <f t="shared" si="14"/>
        <v>47.65220710961237</v>
      </c>
      <c r="T16" s="54">
        <f t="shared" si="15"/>
        <v>0.10113636363636364</v>
      </c>
      <c r="U16" s="53">
        <f t="shared" si="16"/>
        <v>9.8876404494382015</v>
      </c>
      <c r="V16" s="51">
        <v>2</v>
      </c>
      <c r="W16" s="55"/>
      <c r="X16" s="44">
        <f t="shared" si="21"/>
        <v>10.9</v>
      </c>
      <c r="Y16" s="38">
        <v>14.7</v>
      </c>
      <c r="Z16" s="183" t="s">
        <v>526</v>
      </c>
      <c r="AA16" s="38" t="str">
        <f t="shared" si="20"/>
        <v>Yes</v>
      </c>
      <c r="AB16" s="51"/>
      <c r="AC16" s="18" t="s">
        <v>81</v>
      </c>
      <c r="AD16" s="55">
        <f t="shared" si="18"/>
        <v>22.1</v>
      </c>
      <c r="AE16" s="39"/>
      <c r="AF16" s="18"/>
      <c r="AG16" s="18"/>
      <c r="AH16" s="18"/>
      <c r="AI16" s="18"/>
      <c r="AJ16" s="52">
        <v>-0.27</v>
      </c>
      <c r="AK16" s="52">
        <v>19.100000000000001</v>
      </c>
      <c r="AL16" s="52"/>
      <c r="AM16" s="52"/>
      <c r="AN16" s="52"/>
      <c r="AO16" s="52"/>
      <c r="AP16" s="52"/>
      <c r="AQ16" s="52">
        <v>16.2</v>
      </c>
      <c r="AR16" s="52">
        <v>22</v>
      </c>
      <c r="AS16" s="52" t="s">
        <v>32</v>
      </c>
      <c r="AT16" s="18"/>
      <c r="AU16" s="18"/>
      <c r="AV16" s="87"/>
      <c r="AW16" s="87"/>
      <c r="AX16" s="87"/>
      <c r="AY16" s="87"/>
      <c r="AZ16" s="87"/>
      <c r="BA16" s="87"/>
      <c r="BB16" s="87"/>
      <c r="BC16" s="258" t="s">
        <v>532</v>
      </c>
    </row>
    <row r="17" spans="1:55" x14ac:dyDescent="0.2">
      <c r="A17" s="38" t="s">
        <v>65</v>
      </c>
      <c r="B17" s="39"/>
      <c r="C17" s="38"/>
      <c r="D17" s="38"/>
      <c r="E17" s="18" t="s">
        <v>187</v>
      </c>
      <c r="F17" s="47">
        <v>8.9</v>
      </c>
      <c r="G17" s="47" t="s">
        <v>215</v>
      </c>
      <c r="H17" s="47">
        <v>7</v>
      </c>
      <c r="I17" s="38">
        <f t="shared" si="9"/>
        <v>22.89</v>
      </c>
      <c r="J17" s="38">
        <v>11.1</v>
      </c>
      <c r="K17" s="135">
        <f t="shared" si="10"/>
        <v>631.42527333494809</v>
      </c>
      <c r="L17" s="136">
        <f t="shared" si="11"/>
        <v>20.958357407722602</v>
      </c>
      <c r="M17" s="136">
        <f t="shared" si="12"/>
        <v>26.869688984259746</v>
      </c>
      <c r="N17" s="261">
        <v>-17.969688984259747</v>
      </c>
      <c r="O17" s="136">
        <f t="shared" si="13"/>
        <v>8.9</v>
      </c>
      <c r="P17" s="261">
        <v>-475</v>
      </c>
      <c r="Q17" s="261">
        <v>48</v>
      </c>
      <c r="R17" s="79">
        <f t="shared" si="4"/>
        <v>5.1376078363785362E-2</v>
      </c>
      <c r="S17" s="53">
        <f t="shared" si="14"/>
        <v>19.464311637785357</v>
      </c>
      <c r="T17" s="54">
        <f t="shared" si="15"/>
        <v>0.18541666666666667</v>
      </c>
      <c r="U17" s="53">
        <f t="shared" si="16"/>
        <v>5.393258426966292</v>
      </c>
      <c r="V17" s="51">
        <v>3.9</v>
      </c>
      <c r="W17" s="55"/>
      <c r="X17" s="44">
        <f t="shared" si="21"/>
        <v>12.8</v>
      </c>
      <c r="Y17" s="38">
        <v>11.03</v>
      </c>
      <c r="Z17" s="18" t="s">
        <v>79</v>
      </c>
      <c r="AA17" s="38" t="str">
        <f t="shared" si="20"/>
        <v>Yes</v>
      </c>
      <c r="AB17" s="51"/>
      <c r="AC17" s="18" t="s">
        <v>84</v>
      </c>
      <c r="AD17" s="55">
        <f t="shared" si="18"/>
        <v>19.93</v>
      </c>
      <c r="AE17" s="39"/>
      <c r="AF17" s="18"/>
      <c r="AG17" s="18"/>
      <c r="AH17" s="18"/>
      <c r="AI17" s="18"/>
      <c r="AJ17" s="52"/>
      <c r="AK17" s="52">
        <v>19.7</v>
      </c>
      <c r="AL17" s="52"/>
      <c r="AM17" s="52"/>
      <c r="AN17" s="52"/>
      <c r="AO17" s="52"/>
      <c r="AP17" s="52"/>
      <c r="AQ17" s="52">
        <v>17.3</v>
      </c>
      <c r="AR17" s="52">
        <v>13</v>
      </c>
      <c r="AS17" s="52" t="s">
        <v>78</v>
      </c>
      <c r="AT17" s="18" t="s">
        <v>217</v>
      </c>
      <c r="AU17" s="18"/>
      <c r="AV17" s="87"/>
      <c r="AW17" s="87"/>
      <c r="AX17" s="87"/>
      <c r="AY17" s="87"/>
      <c r="AZ17" s="87"/>
      <c r="BA17" s="87"/>
      <c r="BB17" s="87"/>
      <c r="BC17" s="258" t="s">
        <v>533</v>
      </c>
    </row>
    <row r="18" spans="1:55" x14ac:dyDescent="0.2">
      <c r="A18" s="38" t="s">
        <v>66</v>
      </c>
      <c r="B18" s="39"/>
      <c r="C18" s="38"/>
      <c r="D18" s="38"/>
      <c r="E18" s="38" t="s">
        <v>186</v>
      </c>
      <c r="F18" s="47">
        <v>8.9</v>
      </c>
      <c r="G18" s="47" t="s">
        <v>215</v>
      </c>
      <c r="H18" s="47">
        <v>7</v>
      </c>
      <c r="I18" s="38">
        <f t="shared" si="9"/>
        <v>22.89</v>
      </c>
      <c r="J18" s="38">
        <v>11.1</v>
      </c>
      <c r="K18" s="135">
        <f t="shared" si="10"/>
        <v>631.42527333494809</v>
      </c>
      <c r="L18" s="136">
        <f t="shared" si="11"/>
        <v>20.958357407722602</v>
      </c>
      <c r="M18" s="136">
        <f t="shared" si="12"/>
        <v>26.869688984259746</v>
      </c>
      <c r="N18" s="261">
        <v>-17.969688984259747</v>
      </c>
      <c r="O18" s="136">
        <f t="shared" si="13"/>
        <v>8.9</v>
      </c>
      <c r="P18" s="261">
        <v>-1899</v>
      </c>
      <c r="Q18" s="261">
        <v>103</v>
      </c>
      <c r="R18" s="79">
        <f t="shared" si="4"/>
        <v>1.3421423069060813E-2</v>
      </c>
      <c r="S18" s="53">
        <f t="shared" si="14"/>
        <v>74.507747416532098</v>
      </c>
      <c r="T18" s="54">
        <f t="shared" si="15"/>
        <v>8.6407766990291263E-2</v>
      </c>
      <c r="U18" s="53">
        <f t="shared" si="16"/>
        <v>11.573033707865168</v>
      </c>
      <c r="V18" s="51">
        <v>3</v>
      </c>
      <c r="W18" s="39">
        <v>4</v>
      </c>
      <c r="X18" s="44">
        <f t="shared" si="21"/>
        <v>12.9</v>
      </c>
      <c r="Y18" s="38">
        <v>14.1</v>
      </c>
      <c r="Z18" s="147" t="s">
        <v>90</v>
      </c>
      <c r="AA18" s="38" t="str">
        <f t="shared" si="20"/>
        <v>Yes</v>
      </c>
      <c r="AB18" s="51"/>
      <c r="AC18" s="18" t="s">
        <v>85</v>
      </c>
      <c r="AD18" s="55">
        <f t="shared" si="18"/>
        <v>19</v>
      </c>
      <c r="AE18" s="39"/>
      <c r="AF18" s="18"/>
      <c r="AG18" s="18"/>
      <c r="AH18" s="18"/>
      <c r="AI18" s="18"/>
      <c r="AJ18" s="52">
        <v>2.56</v>
      </c>
      <c r="AK18" s="52">
        <v>16</v>
      </c>
      <c r="AL18" s="52"/>
      <c r="AM18" s="52"/>
      <c r="AN18" s="52"/>
      <c r="AO18" s="52"/>
      <c r="AP18" s="52"/>
      <c r="AQ18" s="52">
        <v>17.8</v>
      </c>
      <c r="AR18" s="52">
        <v>14</v>
      </c>
      <c r="AS18" s="52" t="s">
        <v>78</v>
      </c>
      <c r="AT18" s="18" t="s">
        <v>217</v>
      </c>
      <c r="AU18" s="18"/>
      <c r="AV18" s="87"/>
      <c r="AW18" s="87"/>
      <c r="AX18" s="87"/>
      <c r="AY18" s="87"/>
      <c r="AZ18" s="87"/>
      <c r="BA18" s="87"/>
      <c r="BB18" s="87"/>
      <c r="BC18" s="258" t="s">
        <v>533</v>
      </c>
    </row>
    <row r="19" spans="1:55" x14ac:dyDescent="0.2">
      <c r="A19" s="38" t="s">
        <v>67</v>
      </c>
      <c r="B19" s="39"/>
      <c r="C19" s="38"/>
      <c r="D19" s="38"/>
      <c r="E19" s="18" t="s">
        <v>185</v>
      </c>
      <c r="F19" s="47">
        <v>8.9</v>
      </c>
      <c r="G19" s="47" t="s">
        <v>215</v>
      </c>
      <c r="H19" s="47">
        <v>7</v>
      </c>
      <c r="I19" s="38">
        <f t="shared" si="9"/>
        <v>22.89</v>
      </c>
      <c r="J19" s="38">
        <v>11.1</v>
      </c>
      <c r="K19" s="135">
        <f t="shared" si="10"/>
        <v>631.42527333494809</v>
      </c>
      <c r="L19" s="136">
        <f t="shared" si="11"/>
        <v>20.958357407722602</v>
      </c>
      <c r="M19" s="136">
        <f t="shared" si="12"/>
        <v>26.869688984259746</v>
      </c>
      <c r="N19" s="261">
        <v>-17.969688984259747</v>
      </c>
      <c r="O19" s="136">
        <f t="shared" si="13"/>
        <v>8.9</v>
      </c>
      <c r="P19" s="261">
        <v>-787</v>
      </c>
      <c r="Q19" s="261">
        <v>140</v>
      </c>
      <c r="R19" s="79">
        <f t="shared" si="4"/>
        <v>2.8985640759719249E-2</v>
      </c>
      <c r="S19" s="53">
        <f t="shared" si="14"/>
        <v>34.499841086476152</v>
      </c>
      <c r="T19" s="54">
        <f t="shared" si="15"/>
        <v>6.357142857142857E-2</v>
      </c>
      <c r="U19" s="53">
        <f t="shared" si="16"/>
        <v>15.730337078651687</v>
      </c>
      <c r="V19" s="51">
        <v>3.5</v>
      </c>
      <c r="W19" s="39">
        <v>4.5999999999999996</v>
      </c>
      <c r="X19" s="44">
        <f t="shared" si="21"/>
        <v>13.5</v>
      </c>
      <c r="Y19" s="38">
        <v>8.56</v>
      </c>
      <c r="Z19" s="18" t="s">
        <v>90</v>
      </c>
      <c r="AA19" s="38" t="str">
        <f t="shared" si="20"/>
        <v>Yes</v>
      </c>
      <c r="AB19" s="51"/>
      <c r="AC19" s="18" t="s">
        <v>86</v>
      </c>
      <c r="AD19" s="55">
        <f t="shared" si="18"/>
        <v>17.46</v>
      </c>
      <c r="AE19" s="39"/>
      <c r="AF19" s="18"/>
      <c r="AG19" s="18"/>
      <c r="AH19" s="18"/>
      <c r="AI19" s="18"/>
      <c r="AJ19" s="52">
        <v>1.4</v>
      </c>
      <c r="AK19" s="52">
        <v>15.8</v>
      </c>
      <c r="AL19" s="52"/>
      <c r="AM19" s="52"/>
      <c r="AN19" s="52"/>
      <c r="AO19" s="52"/>
      <c r="AP19" s="52"/>
      <c r="AQ19" s="52">
        <v>18.5</v>
      </c>
      <c r="AR19" s="52">
        <v>14</v>
      </c>
      <c r="AS19" s="52" t="s">
        <v>78</v>
      </c>
      <c r="AT19" s="18" t="s">
        <v>217</v>
      </c>
      <c r="AU19" s="18"/>
      <c r="AV19" s="87"/>
      <c r="AW19" s="87"/>
      <c r="AX19" s="87"/>
      <c r="AY19" s="87"/>
      <c r="AZ19" s="87"/>
      <c r="BA19" s="87"/>
      <c r="BB19" s="87"/>
      <c r="BC19" s="258" t="s">
        <v>533</v>
      </c>
    </row>
    <row r="20" spans="1:55" x14ac:dyDescent="0.2">
      <c r="A20" s="38" t="s">
        <v>68</v>
      </c>
      <c r="B20" s="39"/>
      <c r="C20" s="38"/>
      <c r="D20" s="38"/>
      <c r="E20" s="18" t="s">
        <v>184</v>
      </c>
      <c r="F20" s="47">
        <v>8.9</v>
      </c>
      <c r="G20" s="47" t="s">
        <v>215</v>
      </c>
      <c r="H20" s="47">
        <v>7</v>
      </c>
      <c r="I20" s="38">
        <f t="shared" si="9"/>
        <v>22.89</v>
      </c>
      <c r="J20" s="38">
        <v>11.1</v>
      </c>
      <c r="K20" s="135">
        <f t="shared" si="10"/>
        <v>631.42527333494809</v>
      </c>
      <c r="L20" s="136">
        <f t="shared" si="11"/>
        <v>20.958357407722602</v>
      </c>
      <c r="M20" s="136">
        <f t="shared" si="12"/>
        <v>26.869688984259746</v>
      </c>
      <c r="N20" s="261">
        <v>-17.969688984259747</v>
      </c>
      <c r="O20" s="136">
        <f t="shared" si="13"/>
        <v>8.9</v>
      </c>
      <c r="P20" s="261">
        <v>-539</v>
      </c>
      <c r="Q20" s="261">
        <v>231</v>
      </c>
      <c r="R20" s="79">
        <f t="shared" si="4"/>
        <v>3.489569997955811E-2</v>
      </c>
      <c r="S20" s="53">
        <f t="shared" si="14"/>
        <v>28.656825929435424</v>
      </c>
      <c r="T20" s="54">
        <f t="shared" si="15"/>
        <v>3.8528138528138529E-2</v>
      </c>
      <c r="U20" s="53">
        <f t="shared" si="16"/>
        <v>25.95505617977528</v>
      </c>
      <c r="V20" s="51">
        <v>3.6</v>
      </c>
      <c r="W20" s="39"/>
      <c r="X20" s="44">
        <f t="shared" si="21"/>
        <v>12.5</v>
      </c>
      <c r="Y20" s="38">
        <v>6</v>
      </c>
      <c r="Z20" s="18" t="s">
        <v>79</v>
      </c>
      <c r="AA20" s="38" t="str">
        <f t="shared" si="20"/>
        <v>Yes</v>
      </c>
      <c r="AB20" s="51"/>
      <c r="AC20" s="18" t="s">
        <v>82</v>
      </c>
      <c r="AD20" s="55">
        <f t="shared" si="18"/>
        <v>14.5</v>
      </c>
      <c r="AE20" s="39"/>
      <c r="AF20" s="18"/>
      <c r="AG20" s="18"/>
      <c r="AH20" s="18"/>
      <c r="AI20" s="18"/>
      <c r="AJ20" s="18"/>
      <c r="AK20" s="18">
        <v>11.5</v>
      </c>
      <c r="AL20" s="18"/>
      <c r="AM20" s="18"/>
      <c r="AN20" s="18"/>
      <c r="AO20" s="18"/>
      <c r="AP20" s="18"/>
      <c r="AQ20" s="52">
        <v>17.8</v>
      </c>
      <c r="AR20" s="52">
        <v>14</v>
      </c>
      <c r="AS20" s="52" t="s">
        <v>78</v>
      </c>
      <c r="AT20" s="18" t="s">
        <v>217</v>
      </c>
      <c r="AU20" s="18"/>
      <c r="AV20" s="87"/>
      <c r="AW20" s="87"/>
      <c r="AX20" s="87"/>
      <c r="AY20" s="87"/>
      <c r="AZ20" s="87"/>
      <c r="BA20" s="87"/>
      <c r="BB20" s="87"/>
      <c r="BC20" s="258" t="s">
        <v>533</v>
      </c>
    </row>
    <row r="21" spans="1:55" x14ac:dyDescent="0.2">
      <c r="A21" s="266" t="s">
        <v>95</v>
      </c>
      <c r="B21" s="39"/>
      <c r="C21" s="38"/>
      <c r="D21" s="38"/>
      <c r="E21" s="18" t="s">
        <v>160</v>
      </c>
      <c r="F21" s="47">
        <v>8.9</v>
      </c>
      <c r="G21" s="38" t="s">
        <v>199</v>
      </c>
      <c r="H21" s="38">
        <v>6.5</v>
      </c>
      <c r="I21" s="38">
        <f t="shared" ref="I21:I34" si="22">H21*3.27</f>
        <v>21.254999999999999</v>
      </c>
      <c r="J21" s="38">
        <v>11.1</v>
      </c>
      <c r="K21" s="135">
        <f t="shared" si="10"/>
        <v>631.42527333494809</v>
      </c>
      <c r="L21" s="136">
        <f t="shared" si="11"/>
        <v>19.948065548771364</v>
      </c>
      <c r="M21" s="136">
        <f t="shared" si="12"/>
        <v>25.574443011245339</v>
      </c>
      <c r="N21" s="137">
        <f t="shared" ref="N21:N84" si="23">O21-M21</f>
        <v>-16.674443011245337</v>
      </c>
      <c r="O21" s="136">
        <f t="shared" si="13"/>
        <v>8.9</v>
      </c>
      <c r="P21" s="261">
        <v>-833</v>
      </c>
      <c r="Q21" s="261">
        <v>220</v>
      </c>
      <c r="R21" s="79">
        <f t="shared" si="4"/>
        <v>2.4287220333566322E-2</v>
      </c>
      <c r="S21" s="53">
        <f t="shared" si="14"/>
        <v>41.17391723983922</v>
      </c>
      <c r="T21" s="54">
        <f t="shared" si="15"/>
        <v>4.0454545454545458E-2</v>
      </c>
      <c r="U21" s="53">
        <f t="shared" si="16"/>
        <v>24.719101123595504</v>
      </c>
      <c r="V21" s="51">
        <v>3.2</v>
      </c>
      <c r="W21" s="39"/>
      <c r="X21" s="44">
        <f t="shared" si="21"/>
        <v>12.100000000000001</v>
      </c>
      <c r="Y21" s="46">
        <v>9.8000000000000007</v>
      </c>
      <c r="Z21" s="18" t="s">
        <v>92</v>
      </c>
      <c r="AA21" s="38" t="str">
        <f t="shared" si="20"/>
        <v>Yes</v>
      </c>
      <c r="AB21" s="51"/>
      <c r="AC21" s="18" t="s">
        <v>82</v>
      </c>
      <c r="AD21" s="55">
        <f t="shared" si="18"/>
        <v>17.05</v>
      </c>
      <c r="AE21" s="39"/>
      <c r="AF21" s="18"/>
      <c r="AG21" s="18"/>
      <c r="AH21" s="18"/>
      <c r="AI21" s="18"/>
      <c r="AJ21" s="52">
        <v>4.59</v>
      </c>
      <c r="AK21" s="52">
        <v>14.05</v>
      </c>
      <c r="AL21" s="52"/>
      <c r="AM21" s="52"/>
      <c r="AN21" s="52"/>
      <c r="AO21" s="52"/>
      <c r="AP21" s="52"/>
      <c r="AQ21" s="18">
        <v>17.3</v>
      </c>
      <c r="AR21" s="18">
        <v>17</v>
      </c>
      <c r="AS21" s="18" t="s">
        <v>32</v>
      </c>
      <c r="AT21" s="18"/>
      <c r="AU21" s="18"/>
      <c r="AV21" s="87"/>
      <c r="AW21" s="87"/>
      <c r="AX21" s="87"/>
      <c r="AY21" s="87"/>
      <c r="AZ21" s="87"/>
      <c r="BA21" s="87" t="s">
        <v>195</v>
      </c>
      <c r="BB21" s="87" t="s">
        <v>210</v>
      </c>
    </row>
    <row r="22" spans="1:55" x14ac:dyDescent="0.2">
      <c r="A22" s="38" t="s">
        <v>104</v>
      </c>
      <c r="B22" s="39"/>
      <c r="C22" s="38"/>
      <c r="D22" s="38"/>
      <c r="E22" s="18" t="s">
        <v>165</v>
      </c>
      <c r="F22" s="47">
        <v>8.9</v>
      </c>
      <c r="G22" s="38" t="s">
        <v>199</v>
      </c>
      <c r="H22" s="38">
        <v>6.5</v>
      </c>
      <c r="I22" s="38">
        <f t="shared" si="22"/>
        <v>21.254999999999999</v>
      </c>
      <c r="J22" s="38">
        <v>11.1</v>
      </c>
      <c r="K22" s="135">
        <f t="shared" si="10"/>
        <v>631.42527333494809</v>
      </c>
      <c r="L22" s="136">
        <f t="shared" si="11"/>
        <v>19.948065548771364</v>
      </c>
      <c r="M22" s="136">
        <f t="shared" si="12"/>
        <v>25.574443011245339</v>
      </c>
      <c r="N22" s="137">
        <f t="shared" si="23"/>
        <v>-16.674443011245337</v>
      </c>
      <c r="O22" s="136">
        <f t="shared" si="13"/>
        <v>8.9</v>
      </c>
      <c r="P22" s="261">
        <v>-1173</v>
      </c>
      <c r="Q22" s="261">
        <v>161</v>
      </c>
      <c r="R22" s="79">
        <f t="shared" si="4"/>
        <v>1.9171246635116445E-2</v>
      </c>
      <c r="S22" s="53">
        <f t="shared" si="14"/>
        <v>52.161448810964401</v>
      </c>
      <c r="T22" s="54">
        <f t="shared" si="15"/>
        <v>5.5279503105590065E-2</v>
      </c>
      <c r="U22" s="53">
        <f t="shared" si="16"/>
        <v>18.089887640449437</v>
      </c>
      <c r="V22" s="51">
        <v>3</v>
      </c>
      <c r="W22" s="39">
        <v>3.8</v>
      </c>
      <c r="X22" s="44">
        <f t="shared" si="21"/>
        <v>12.7</v>
      </c>
      <c r="Y22" s="38">
        <v>13.5</v>
      </c>
      <c r="Z22" s="18" t="s">
        <v>90</v>
      </c>
      <c r="AA22" s="38" t="str">
        <f t="shared" si="20"/>
        <v>Yes</v>
      </c>
      <c r="AB22" s="51"/>
      <c r="AC22" s="18" t="s">
        <v>116</v>
      </c>
      <c r="AD22" s="55">
        <f t="shared" si="18"/>
        <v>16.89</v>
      </c>
      <c r="AE22" s="39"/>
      <c r="AF22" s="18"/>
      <c r="AG22" s="18"/>
      <c r="AH22" s="18"/>
      <c r="AI22" s="18"/>
      <c r="AJ22" s="52">
        <v>3.93</v>
      </c>
      <c r="AK22" s="18">
        <v>13.89</v>
      </c>
      <c r="AL22" s="18"/>
      <c r="AM22" s="18"/>
      <c r="AN22" s="18"/>
      <c r="AO22" s="18"/>
      <c r="AP22" s="18"/>
      <c r="AQ22" s="52">
        <v>17.600000000000001</v>
      </c>
      <c r="AR22" s="52">
        <v>22</v>
      </c>
      <c r="AS22" s="52" t="s">
        <v>32</v>
      </c>
      <c r="AT22" s="18"/>
      <c r="AU22" s="18"/>
      <c r="AV22" s="87"/>
      <c r="AW22" s="87"/>
      <c r="AX22" s="87"/>
      <c r="AY22" s="87"/>
      <c r="AZ22" s="87"/>
      <c r="BA22" s="87"/>
      <c r="BB22" s="160" t="s">
        <v>206</v>
      </c>
    </row>
    <row r="23" spans="1:55" x14ac:dyDescent="0.2">
      <c r="A23" s="38" t="s">
        <v>105</v>
      </c>
      <c r="B23" s="39"/>
      <c r="C23" s="38"/>
      <c r="D23" s="38"/>
      <c r="E23" s="38" t="s">
        <v>164</v>
      </c>
      <c r="F23" s="47">
        <v>8.9</v>
      </c>
      <c r="G23" s="38" t="s">
        <v>199</v>
      </c>
      <c r="H23" s="38">
        <v>6.5</v>
      </c>
      <c r="I23" s="38">
        <f t="shared" si="22"/>
        <v>21.254999999999999</v>
      </c>
      <c r="J23" s="38">
        <v>11.1</v>
      </c>
      <c r="K23" s="135">
        <f t="shared" si="10"/>
        <v>631.42527333494809</v>
      </c>
      <c r="L23" s="136">
        <f t="shared" si="11"/>
        <v>19.948065548771364</v>
      </c>
      <c r="M23" s="136">
        <f t="shared" si="12"/>
        <v>25.574443011245339</v>
      </c>
      <c r="N23" s="137">
        <f t="shared" si="23"/>
        <v>-16.674443011245337</v>
      </c>
      <c r="O23" s="136">
        <f t="shared" si="13"/>
        <v>8.9</v>
      </c>
      <c r="P23" s="261">
        <v>-1183</v>
      </c>
      <c r="Q23" s="261">
        <v>197</v>
      </c>
      <c r="R23" s="79">
        <f t="shared" si="4"/>
        <v>1.8532205080612561E-2</v>
      </c>
      <c r="S23" s="53">
        <f t="shared" si="14"/>
        <v>53.960119459618355</v>
      </c>
      <c r="T23" s="54">
        <f t="shared" si="15"/>
        <v>4.5177664974619294E-2</v>
      </c>
      <c r="U23" s="53">
        <f t="shared" si="16"/>
        <v>22.134831460674153</v>
      </c>
      <c r="V23" s="51">
        <v>3</v>
      </c>
      <c r="W23" s="39"/>
      <c r="X23" s="44">
        <f t="shared" si="21"/>
        <v>11.9</v>
      </c>
      <c r="Y23" s="38">
        <v>3.09</v>
      </c>
      <c r="Z23" s="18" t="s">
        <v>79</v>
      </c>
      <c r="AA23" s="38" t="str">
        <f t="shared" si="20"/>
        <v>No</v>
      </c>
      <c r="AB23" s="51"/>
      <c r="AC23" s="18" t="s">
        <v>117</v>
      </c>
      <c r="AD23" s="55">
        <f t="shared" si="18"/>
        <v>11.99</v>
      </c>
      <c r="AE23" s="39"/>
      <c r="AF23" s="18"/>
      <c r="AG23" s="18"/>
      <c r="AH23" s="18"/>
      <c r="AI23" s="18"/>
      <c r="AJ23" s="52">
        <v>2.84</v>
      </c>
      <c r="AK23" s="18">
        <v>13.82</v>
      </c>
      <c r="AL23" s="18"/>
      <c r="AM23" s="18"/>
      <c r="AN23" s="18"/>
      <c r="AO23" s="18"/>
      <c r="AP23" s="18"/>
      <c r="AQ23" s="52">
        <v>17.399999999999999</v>
      </c>
      <c r="AR23" s="52">
        <v>12</v>
      </c>
      <c r="AS23" s="52" t="s">
        <v>32</v>
      </c>
      <c r="AT23" s="18"/>
      <c r="AU23" s="18"/>
      <c r="AV23" s="87"/>
      <c r="AW23" s="87"/>
      <c r="AX23" s="87"/>
      <c r="AY23" s="87"/>
      <c r="AZ23" s="87"/>
      <c r="BA23" s="87"/>
      <c r="BB23" s="160" t="s">
        <v>203</v>
      </c>
    </row>
    <row r="24" spans="1:55" x14ac:dyDescent="0.2">
      <c r="A24" s="38" t="s">
        <v>106</v>
      </c>
      <c r="B24" s="39"/>
      <c r="C24" s="38"/>
      <c r="D24" s="38"/>
      <c r="E24" s="18" t="s">
        <v>163</v>
      </c>
      <c r="F24" s="47">
        <v>8.9</v>
      </c>
      <c r="G24" s="38" t="s">
        <v>199</v>
      </c>
      <c r="H24" s="38">
        <v>6.5</v>
      </c>
      <c r="I24" s="38">
        <f t="shared" si="22"/>
        <v>21.254999999999999</v>
      </c>
      <c r="J24" s="38">
        <v>11.1</v>
      </c>
      <c r="K24" s="135">
        <f t="shared" si="10"/>
        <v>631.42527333494809</v>
      </c>
      <c r="L24" s="136">
        <f t="shared" si="11"/>
        <v>19.948065548771364</v>
      </c>
      <c r="M24" s="136">
        <f t="shared" si="12"/>
        <v>25.574443011245339</v>
      </c>
      <c r="N24" s="137">
        <f t="shared" si="23"/>
        <v>-16.674443011245337</v>
      </c>
      <c r="O24" s="136">
        <f t="shared" si="13"/>
        <v>8.9</v>
      </c>
      <c r="P24" s="261">
        <v>-1081</v>
      </c>
      <c r="Q24" s="261">
        <v>218</v>
      </c>
      <c r="R24" s="79">
        <f t="shared" si="4"/>
        <v>1.9687792926285863E-2</v>
      </c>
      <c r="S24" s="53">
        <f t="shared" si="14"/>
        <v>50.792895056553796</v>
      </c>
      <c r="T24" s="54">
        <f t="shared" si="15"/>
        <v>4.0825688073394498E-2</v>
      </c>
      <c r="U24" s="53">
        <f t="shared" si="16"/>
        <v>24.49438202247191</v>
      </c>
      <c r="V24" s="51">
        <v>3.06</v>
      </c>
      <c r="W24" s="39">
        <v>3.58</v>
      </c>
      <c r="X24" s="44">
        <f t="shared" si="21"/>
        <v>12.48</v>
      </c>
      <c r="Y24" s="38">
        <v>8.6</v>
      </c>
      <c r="Z24" s="18" t="s">
        <v>90</v>
      </c>
      <c r="AA24" s="38" t="str">
        <f t="shared" si="20"/>
        <v>Yes</v>
      </c>
      <c r="AB24" s="51"/>
      <c r="AC24" s="18" t="s">
        <v>112</v>
      </c>
      <c r="AD24" s="55">
        <f t="shared" si="18"/>
        <v>15.85</v>
      </c>
      <c r="AE24" s="39"/>
      <c r="AF24" s="18"/>
      <c r="AG24" s="18"/>
      <c r="AH24" s="18"/>
      <c r="AI24" s="18"/>
      <c r="AJ24" s="52">
        <v>3.62</v>
      </c>
      <c r="AK24" s="18">
        <v>12.85</v>
      </c>
      <c r="AL24" s="18"/>
      <c r="AM24" s="18"/>
      <c r="AN24" s="18"/>
      <c r="AO24" s="18"/>
      <c r="AP24" s="18"/>
      <c r="AQ24" s="52">
        <v>17.899999999999999</v>
      </c>
      <c r="AR24" s="52">
        <v>16</v>
      </c>
      <c r="AS24" s="52" t="s">
        <v>32</v>
      </c>
      <c r="AT24" s="18"/>
      <c r="AU24" s="18"/>
      <c r="AV24" s="87"/>
      <c r="AW24" s="87"/>
      <c r="AX24" s="87"/>
      <c r="AY24" s="87"/>
      <c r="AZ24" s="87"/>
      <c r="BA24" s="87"/>
      <c r="BB24" s="160" t="s">
        <v>208</v>
      </c>
    </row>
    <row r="25" spans="1:55" x14ac:dyDescent="0.2">
      <c r="A25" s="38" t="s">
        <v>107</v>
      </c>
      <c r="B25" s="39"/>
      <c r="C25" s="38"/>
      <c r="D25" s="38"/>
      <c r="E25" s="18" t="s">
        <v>162</v>
      </c>
      <c r="F25" s="47">
        <v>8.9</v>
      </c>
      <c r="G25" s="38" t="s">
        <v>199</v>
      </c>
      <c r="H25" s="38">
        <v>6.5</v>
      </c>
      <c r="I25" s="38">
        <f t="shared" si="22"/>
        <v>21.254999999999999</v>
      </c>
      <c r="J25" s="38">
        <v>11.1</v>
      </c>
      <c r="K25" s="135">
        <f t="shared" si="10"/>
        <v>631.42527333494809</v>
      </c>
      <c r="L25" s="136">
        <f t="shared" si="11"/>
        <v>19.948065548771364</v>
      </c>
      <c r="M25" s="136">
        <f t="shared" si="12"/>
        <v>25.574443011245339</v>
      </c>
      <c r="N25" s="137">
        <f t="shared" si="23"/>
        <v>-16.674443011245337</v>
      </c>
      <c r="O25" s="136">
        <f t="shared" si="13"/>
        <v>8.9</v>
      </c>
      <c r="P25" s="261">
        <v>-950</v>
      </c>
      <c r="Q25" s="261">
        <v>50</v>
      </c>
      <c r="R25" s="79">
        <f t="shared" si="4"/>
        <v>2.5574443011245337E-2</v>
      </c>
      <c r="S25" s="53">
        <f t="shared" si="14"/>
        <v>39.10153584030315</v>
      </c>
      <c r="T25" s="54">
        <f t="shared" si="15"/>
        <v>0.17800000000000002</v>
      </c>
      <c r="U25" s="53">
        <f t="shared" si="16"/>
        <v>5.6179775280898872</v>
      </c>
      <c r="V25" s="51">
        <v>3.2</v>
      </c>
      <c r="W25" s="39">
        <v>4.4000000000000004</v>
      </c>
      <c r="X25" s="44">
        <f t="shared" si="21"/>
        <v>13.3</v>
      </c>
      <c r="Y25" s="38">
        <v>20.399999999999999</v>
      </c>
      <c r="Z25" s="18" t="s">
        <v>90</v>
      </c>
      <c r="AA25" s="38" t="str">
        <f t="shared" si="20"/>
        <v>Yes</v>
      </c>
      <c r="AB25" s="51"/>
      <c r="AC25" s="18" t="s">
        <v>118</v>
      </c>
      <c r="AD25" s="55">
        <f t="shared" si="18"/>
        <v>17.79</v>
      </c>
      <c r="AE25" s="39"/>
      <c r="AF25" s="18"/>
      <c r="AG25" s="18"/>
      <c r="AH25" s="18"/>
      <c r="AI25" s="18"/>
      <c r="AJ25" s="52">
        <v>-0.21</v>
      </c>
      <c r="AK25" s="18">
        <v>14.79</v>
      </c>
      <c r="AL25" s="18"/>
      <c r="AM25" s="18"/>
      <c r="AN25" s="18"/>
      <c r="AO25" s="18"/>
      <c r="AP25" s="18"/>
      <c r="AQ25" s="52">
        <v>19.600000000000001</v>
      </c>
      <c r="AR25" s="52">
        <v>18</v>
      </c>
      <c r="AS25" s="52" t="s">
        <v>32</v>
      </c>
      <c r="AT25" s="18"/>
      <c r="AU25" s="18"/>
      <c r="AV25" s="87"/>
      <c r="AW25" s="87"/>
      <c r="AX25" s="87"/>
      <c r="AY25" s="87"/>
      <c r="AZ25" s="87"/>
      <c r="BA25" s="87"/>
      <c r="BB25" s="160" t="s">
        <v>208</v>
      </c>
    </row>
    <row r="26" spans="1:55" x14ac:dyDescent="0.2">
      <c r="A26" s="38" t="s">
        <v>108</v>
      </c>
      <c r="B26" s="39"/>
      <c r="C26" s="38"/>
      <c r="D26" s="38"/>
      <c r="E26" s="18" t="s">
        <v>161</v>
      </c>
      <c r="F26" s="38">
        <v>8.9</v>
      </c>
      <c r="G26" s="38" t="s">
        <v>199</v>
      </c>
      <c r="H26" s="38">
        <v>6.5</v>
      </c>
      <c r="I26" s="38">
        <f t="shared" si="22"/>
        <v>21.254999999999999</v>
      </c>
      <c r="J26" s="38">
        <v>11.1</v>
      </c>
      <c r="K26" s="135">
        <f t="shared" si="10"/>
        <v>631.42527333494809</v>
      </c>
      <c r="L26" s="136">
        <f t="shared" si="11"/>
        <v>19.948065548771364</v>
      </c>
      <c r="M26" s="136">
        <f t="shared" si="12"/>
        <v>25.574443011245339</v>
      </c>
      <c r="N26" s="137">
        <f t="shared" si="23"/>
        <v>-16.674443011245337</v>
      </c>
      <c r="O26" s="136">
        <f t="shared" si="13"/>
        <v>8.9</v>
      </c>
      <c r="P26" s="261">
        <v>-660</v>
      </c>
      <c r="Q26" s="261">
        <v>184</v>
      </c>
      <c r="R26" s="79">
        <f t="shared" si="4"/>
        <v>3.0301472762139025E-2</v>
      </c>
      <c r="S26" s="53">
        <f t="shared" si="14"/>
        <v>33.001696249215861</v>
      </c>
      <c r="T26" s="54">
        <f t="shared" si="15"/>
        <v>4.836956521739131E-2</v>
      </c>
      <c r="U26" s="53">
        <f t="shared" si="16"/>
        <v>20.674157303370784</v>
      </c>
      <c r="V26" s="51">
        <v>3.3</v>
      </c>
      <c r="W26" s="39"/>
      <c r="X26" s="44">
        <f t="shared" si="21"/>
        <v>12.2</v>
      </c>
      <c r="Y26" s="38">
        <v>3.83</v>
      </c>
      <c r="Z26" s="18" t="s">
        <v>79</v>
      </c>
      <c r="AA26" s="38" t="str">
        <f t="shared" si="20"/>
        <v>Yes</v>
      </c>
      <c r="AB26" s="51"/>
      <c r="AC26" s="18" t="s">
        <v>117</v>
      </c>
      <c r="AD26" s="55">
        <f t="shared" si="18"/>
        <v>12.73</v>
      </c>
      <c r="AE26" s="39"/>
      <c r="AF26" s="18"/>
      <c r="AG26" s="18"/>
      <c r="AH26" s="18"/>
      <c r="AI26" s="18"/>
      <c r="AJ26" s="18" t="s">
        <v>200</v>
      </c>
      <c r="AK26" s="18">
        <v>10.8</v>
      </c>
      <c r="AL26" s="18"/>
      <c r="AM26" s="18"/>
      <c r="AN26" s="18"/>
      <c r="AO26" s="18"/>
      <c r="AP26" s="18"/>
      <c r="AQ26" s="52">
        <v>17.3</v>
      </c>
      <c r="AR26" s="52">
        <v>13</v>
      </c>
      <c r="AS26" s="52" t="s">
        <v>32</v>
      </c>
      <c r="AT26" s="18"/>
      <c r="AU26" s="18"/>
      <c r="AV26" s="87"/>
      <c r="AW26" s="87"/>
      <c r="AX26" s="87" t="s">
        <v>207</v>
      </c>
      <c r="AY26" s="87"/>
      <c r="AZ26" s="87"/>
      <c r="BA26" s="87"/>
      <c r="BB26" s="87" t="s">
        <v>205</v>
      </c>
    </row>
    <row r="27" spans="1:55" x14ac:dyDescent="0.2">
      <c r="A27" s="38" t="s">
        <v>96</v>
      </c>
      <c r="B27" s="39"/>
      <c r="C27" s="38"/>
      <c r="D27" s="38"/>
      <c r="E27" s="18" t="s">
        <v>173</v>
      </c>
      <c r="F27" s="47">
        <v>8.9</v>
      </c>
      <c r="G27" s="38" t="s">
        <v>199</v>
      </c>
      <c r="H27" s="38">
        <v>6.5</v>
      </c>
      <c r="I27" s="38">
        <f t="shared" si="22"/>
        <v>21.254999999999999</v>
      </c>
      <c r="J27" s="38">
        <v>11.1</v>
      </c>
      <c r="K27" s="135">
        <f t="shared" si="10"/>
        <v>631.42527333494809</v>
      </c>
      <c r="L27" s="136">
        <f t="shared" si="11"/>
        <v>19.948065548771364</v>
      </c>
      <c r="M27" s="136">
        <f t="shared" si="12"/>
        <v>25.574443011245339</v>
      </c>
      <c r="N27" s="137">
        <f t="shared" si="23"/>
        <v>-16.674443011245337</v>
      </c>
      <c r="O27" s="136">
        <f t="shared" si="13"/>
        <v>8.9</v>
      </c>
      <c r="P27" s="261">
        <v>-800</v>
      </c>
      <c r="Q27" s="261">
        <v>201</v>
      </c>
      <c r="R27" s="79">
        <f t="shared" si="4"/>
        <v>2.5548894117128209E-2</v>
      </c>
      <c r="S27" s="53">
        <f t="shared" si="14"/>
        <v>39.140637376143452</v>
      </c>
      <c r="T27" s="54">
        <f t="shared" si="15"/>
        <v>4.4278606965174133E-2</v>
      </c>
      <c r="U27" s="53">
        <f t="shared" si="16"/>
        <v>22.584269662921347</v>
      </c>
      <c r="V27" s="51">
        <v>3.2</v>
      </c>
      <c r="W27" s="39">
        <v>3.5</v>
      </c>
      <c r="X27" s="44">
        <f t="shared" si="21"/>
        <v>12.4</v>
      </c>
      <c r="Y27" s="38">
        <v>9.6999999999999993</v>
      </c>
      <c r="Z27" s="18" t="s">
        <v>90</v>
      </c>
      <c r="AA27" s="38" t="str">
        <f t="shared" si="20"/>
        <v>Yes</v>
      </c>
      <c r="AB27" s="51"/>
      <c r="AC27" s="18" t="s">
        <v>109</v>
      </c>
      <c r="AD27" s="55">
        <f t="shared" si="18"/>
        <v>14.21</v>
      </c>
      <c r="AE27" s="39"/>
      <c r="AF27" s="18"/>
      <c r="AG27" s="18"/>
      <c r="AH27" s="18"/>
      <c r="AI27" s="18"/>
      <c r="AJ27" s="52">
        <v>6.54</v>
      </c>
      <c r="AK27" s="52">
        <v>11.21</v>
      </c>
      <c r="AL27" s="52"/>
      <c r="AM27" s="52"/>
      <c r="AN27" s="52"/>
      <c r="AO27" s="52"/>
      <c r="AP27" s="52"/>
      <c r="AQ27" s="18">
        <v>18.2</v>
      </c>
      <c r="AR27" s="18">
        <v>14</v>
      </c>
      <c r="AS27" s="18" t="s">
        <v>32</v>
      </c>
      <c r="AT27" s="18"/>
      <c r="AU27" s="18"/>
      <c r="AV27" s="87"/>
      <c r="AW27" s="87"/>
      <c r="AX27" s="87"/>
      <c r="AY27" s="87"/>
      <c r="AZ27" s="87"/>
      <c r="BA27" s="87"/>
      <c r="BB27" s="87" t="s">
        <v>209</v>
      </c>
    </row>
    <row r="28" spans="1:55" x14ac:dyDescent="0.2">
      <c r="A28" s="38" t="s">
        <v>97</v>
      </c>
      <c r="B28" s="39"/>
      <c r="C28" s="38"/>
      <c r="D28" s="38"/>
      <c r="E28" s="38" t="s">
        <v>172</v>
      </c>
      <c r="F28" s="47">
        <v>8.9</v>
      </c>
      <c r="G28" s="38" t="s">
        <v>199</v>
      </c>
      <c r="H28" s="38">
        <v>6.5</v>
      </c>
      <c r="I28" s="38">
        <f t="shared" si="22"/>
        <v>21.254999999999999</v>
      </c>
      <c r="J28" s="38">
        <v>11.1</v>
      </c>
      <c r="K28" s="135">
        <f t="shared" si="10"/>
        <v>631.42527333494809</v>
      </c>
      <c r="L28" s="136">
        <f t="shared" si="11"/>
        <v>19.948065548771364</v>
      </c>
      <c r="M28" s="136">
        <f t="shared" si="12"/>
        <v>25.574443011245339</v>
      </c>
      <c r="N28" s="137">
        <f t="shared" si="23"/>
        <v>-16.674443011245337</v>
      </c>
      <c r="O28" s="136">
        <f t="shared" si="13"/>
        <v>8.9</v>
      </c>
      <c r="P28" s="261">
        <v>-1251</v>
      </c>
      <c r="Q28" s="261">
        <v>153</v>
      </c>
      <c r="R28" s="79">
        <f t="shared" si="4"/>
        <v>1.8215415250174741E-2</v>
      </c>
      <c r="S28" s="53">
        <f t="shared" si="14"/>
        <v>54.898556319785627</v>
      </c>
      <c r="T28" s="54">
        <f t="shared" si="15"/>
        <v>5.8169934640522877E-2</v>
      </c>
      <c r="U28" s="53">
        <f t="shared" si="16"/>
        <v>17.191011235955056</v>
      </c>
      <c r="V28" s="51">
        <v>3</v>
      </c>
      <c r="W28" s="39">
        <v>3.5</v>
      </c>
      <c r="X28" s="44">
        <f t="shared" si="21"/>
        <v>12.4</v>
      </c>
      <c r="Y28" s="38">
        <v>12.8</v>
      </c>
      <c r="Z28" s="18" t="s">
        <v>80</v>
      </c>
      <c r="AA28" s="38" t="str">
        <f t="shared" si="20"/>
        <v>Yes</v>
      </c>
      <c r="AB28" s="51"/>
      <c r="AC28" s="18" t="s">
        <v>110</v>
      </c>
      <c r="AD28" s="55">
        <f t="shared" si="18"/>
        <v>16.48</v>
      </c>
      <c r="AE28" s="39"/>
      <c r="AF28" s="18"/>
      <c r="AG28" s="18"/>
      <c r="AH28" s="18"/>
      <c r="AI28" s="18"/>
      <c r="AJ28" s="52">
        <v>3.56</v>
      </c>
      <c r="AK28" s="52">
        <v>13.48</v>
      </c>
      <c r="AL28" s="52"/>
      <c r="AM28" s="52"/>
      <c r="AN28" s="52"/>
      <c r="AO28" s="52"/>
      <c r="AP28" s="52"/>
      <c r="AQ28" s="18">
        <v>18.2</v>
      </c>
      <c r="AR28" s="52">
        <v>16</v>
      </c>
      <c r="AS28" s="18" t="s">
        <v>32</v>
      </c>
      <c r="AT28" s="18"/>
      <c r="AU28" s="18"/>
      <c r="AV28" s="87"/>
      <c r="AW28" s="87"/>
      <c r="AX28" s="87"/>
      <c r="AY28" s="87"/>
      <c r="AZ28" s="87"/>
      <c r="BA28" s="87"/>
      <c r="BB28" s="87" t="s">
        <v>375</v>
      </c>
    </row>
    <row r="29" spans="1:55" x14ac:dyDescent="0.2">
      <c r="A29" s="38" t="s">
        <v>98</v>
      </c>
      <c r="B29" s="39"/>
      <c r="C29" s="38"/>
      <c r="D29" s="38"/>
      <c r="E29" s="18" t="s">
        <v>171</v>
      </c>
      <c r="F29" s="47">
        <v>8.9</v>
      </c>
      <c r="G29" s="38" t="s">
        <v>199</v>
      </c>
      <c r="H29" s="38">
        <v>6.5</v>
      </c>
      <c r="I29" s="38">
        <f t="shared" si="22"/>
        <v>21.254999999999999</v>
      </c>
      <c r="J29" s="38">
        <v>11.1</v>
      </c>
      <c r="K29" s="135">
        <f t="shared" si="10"/>
        <v>631.42527333494809</v>
      </c>
      <c r="L29" s="136">
        <f t="shared" si="11"/>
        <v>19.948065548771364</v>
      </c>
      <c r="M29" s="136">
        <f t="shared" si="12"/>
        <v>25.574443011245339</v>
      </c>
      <c r="N29" s="137">
        <f t="shared" si="23"/>
        <v>-16.674443011245337</v>
      </c>
      <c r="O29" s="136">
        <f t="shared" si="13"/>
        <v>8.9</v>
      </c>
      <c r="P29" s="261">
        <v>-479</v>
      </c>
      <c r="Q29" s="261">
        <v>101</v>
      </c>
      <c r="R29" s="79">
        <f t="shared" si="4"/>
        <v>4.4093867260767819E-2</v>
      </c>
      <c r="S29" s="53">
        <f t="shared" si="14"/>
        <v>22.678890787375831</v>
      </c>
      <c r="T29" s="54">
        <f t="shared" si="15"/>
        <v>8.8118811881188128E-2</v>
      </c>
      <c r="U29" s="53">
        <f t="shared" si="16"/>
        <v>11.348314606741573</v>
      </c>
      <c r="V29" s="51">
        <v>3.6</v>
      </c>
      <c r="W29" s="39">
        <v>4.3</v>
      </c>
      <c r="X29" s="44">
        <f t="shared" si="21"/>
        <v>13.2</v>
      </c>
      <c r="Y29" s="38">
        <v>11.3</v>
      </c>
      <c r="Z29" s="18" t="s">
        <v>90</v>
      </c>
      <c r="AA29" s="38" t="str">
        <f t="shared" si="20"/>
        <v>Yes</v>
      </c>
      <c r="AB29" s="51"/>
      <c r="AC29" s="18" t="s">
        <v>111</v>
      </c>
      <c r="AD29" s="55">
        <f t="shared" si="18"/>
        <v>17.649999999999999</v>
      </c>
      <c r="AE29" s="39"/>
      <c r="AF29" s="18"/>
      <c r="AG29" s="18"/>
      <c r="AH29" s="18"/>
      <c r="AI29" s="18"/>
      <c r="AJ29" s="52">
        <v>5.08</v>
      </c>
      <c r="AK29" s="52">
        <v>14.65</v>
      </c>
      <c r="AL29" s="52"/>
      <c r="AM29" s="52"/>
      <c r="AN29" s="52"/>
      <c r="AO29" s="52"/>
      <c r="AP29" s="52"/>
      <c r="AQ29" s="52">
        <v>18.7</v>
      </c>
      <c r="AR29" s="52">
        <v>18</v>
      </c>
      <c r="AS29" s="52" t="s">
        <v>32</v>
      </c>
      <c r="AT29" s="18"/>
      <c r="AU29" s="18"/>
      <c r="AV29" s="87"/>
      <c r="AW29" s="87"/>
      <c r="AX29" s="87"/>
      <c r="AY29" s="87"/>
      <c r="AZ29" s="87"/>
      <c r="BA29" s="87"/>
      <c r="BB29" s="160" t="s">
        <v>208</v>
      </c>
    </row>
    <row r="30" spans="1:55" x14ac:dyDescent="0.2">
      <c r="A30" s="38" t="s">
        <v>99</v>
      </c>
      <c r="B30" s="39"/>
      <c r="C30" s="38"/>
      <c r="D30" s="38"/>
      <c r="E30" s="18" t="s">
        <v>170</v>
      </c>
      <c r="F30" s="47">
        <v>8.9</v>
      </c>
      <c r="G30" s="38" t="s">
        <v>199</v>
      </c>
      <c r="H30" s="38">
        <v>6.5</v>
      </c>
      <c r="I30" s="38">
        <f t="shared" si="22"/>
        <v>21.254999999999999</v>
      </c>
      <c r="J30" s="38">
        <v>11.1</v>
      </c>
      <c r="K30" s="135">
        <f t="shared" si="10"/>
        <v>631.42527333494809</v>
      </c>
      <c r="L30" s="136">
        <f t="shared" si="11"/>
        <v>19.948065548771364</v>
      </c>
      <c r="M30" s="136">
        <f t="shared" si="12"/>
        <v>25.574443011245339</v>
      </c>
      <c r="N30" s="137">
        <f t="shared" si="23"/>
        <v>-16.674443011245337</v>
      </c>
      <c r="O30" s="136">
        <f t="shared" si="13"/>
        <v>8.9</v>
      </c>
      <c r="P30" s="261">
        <v>-657</v>
      </c>
      <c r="Q30" s="261">
        <v>202</v>
      </c>
      <c r="R30" s="79">
        <f t="shared" si="4"/>
        <v>2.9772343435675596E-2</v>
      </c>
      <c r="S30" s="53">
        <f t="shared" si="14"/>
        <v>33.588219286820404</v>
      </c>
      <c r="T30" s="54">
        <f t="shared" si="15"/>
        <v>4.4059405940594064E-2</v>
      </c>
      <c r="U30" s="53">
        <f t="shared" si="16"/>
        <v>22.696629213483146</v>
      </c>
      <c r="V30" s="51">
        <v>3.3</v>
      </c>
      <c r="W30" s="39">
        <v>3.7</v>
      </c>
      <c r="X30" s="44">
        <f t="shared" si="21"/>
        <v>12.600000000000001</v>
      </c>
      <c r="Y30" s="38">
        <v>7.4</v>
      </c>
      <c r="Z30" s="18" t="s">
        <v>90</v>
      </c>
      <c r="AA30" s="38" t="str">
        <f t="shared" si="20"/>
        <v>Yes</v>
      </c>
      <c r="AB30" s="51"/>
      <c r="AC30" s="18" t="s">
        <v>112</v>
      </c>
      <c r="AD30" s="55">
        <f t="shared" si="18"/>
        <v>13.26</v>
      </c>
      <c r="AE30" s="39"/>
      <c r="AF30" s="18"/>
      <c r="AG30" s="18"/>
      <c r="AH30" s="18"/>
      <c r="AI30" s="18"/>
      <c r="AJ30" s="52">
        <v>8.73</v>
      </c>
      <c r="AK30" s="52">
        <v>10.26</v>
      </c>
      <c r="AL30" s="52"/>
      <c r="AM30" s="52"/>
      <c r="AN30" s="52"/>
      <c r="AO30" s="52"/>
      <c r="AP30" s="52"/>
      <c r="AQ30" s="52">
        <v>18.399999999999999</v>
      </c>
      <c r="AR30" s="52">
        <v>13</v>
      </c>
      <c r="AS30" s="52" t="s">
        <v>32</v>
      </c>
      <c r="AT30" s="18"/>
      <c r="AU30" s="18"/>
      <c r="AV30" s="87"/>
      <c r="AW30" s="87"/>
      <c r="AX30" s="87"/>
      <c r="AY30" s="87"/>
      <c r="AZ30" s="87"/>
      <c r="BA30" s="87"/>
      <c r="BB30" s="160" t="s">
        <v>208</v>
      </c>
    </row>
    <row r="31" spans="1:55" x14ac:dyDescent="0.2">
      <c r="A31" s="38" t="s">
        <v>100</v>
      </c>
      <c r="B31" s="39"/>
      <c r="C31" s="38"/>
      <c r="D31" s="38"/>
      <c r="E31" s="18" t="s">
        <v>169</v>
      </c>
      <c r="F31" s="47">
        <v>8.9</v>
      </c>
      <c r="G31" s="38" t="s">
        <v>199</v>
      </c>
      <c r="H31" s="38">
        <v>6.5</v>
      </c>
      <c r="I31" s="38">
        <f t="shared" si="22"/>
        <v>21.254999999999999</v>
      </c>
      <c r="J31" s="38">
        <v>11.1</v>
      </c>
      <c r="K31" s="135">
        <f t="shared" si="10"/>
        <v>631.42527333494809</v>
      </c>
      <c r="L31" s="136">
        <f t="shared" si="11"/>
        <v>19.948065548771364</v>
      </c>
      <c r="M31" s="136">
        <f t="shared" si="12"/>
        <v>25.574443011245339</v>
      </c>
      <c r="N31" s="137">
        <f t="shared" si="23"/>
        <v>-16.674443011245337</v>
      </c>
      <c r="O31" s="136">
        <f t="shared" si="13"/>
        <v>8.9</v>
      </c>
      <c r="P31" s="261">
        <v>-1621</v>
      </c>
      <c r="Q31" s="261">
        <v>75</v>
      </c>
      <c r="R31" s="79">
        <f t="shared" si="4"/>
        <v>1.5079270643422958E-2</v>
      </c>
      <c r="S31" s="53">
        <f t="shared" si="14"/>
        <v>66.316204785154142</v>
      </c>
      <c r="T31" s="54">
        <f t="shared" si="15"/>
        <v>0.11866666666666667</v>
      </c>
      <c r="U31" s="53">
        <f t="shared" si="16"/>
        <v>8.4269662921348321</v>
      </c>
      <c r="V31" s="51">
        <v>2.9</v>
      </c>
      <c r="W31" s="39"/>
      <c r="X31" s="44">
        <f t="shared" si="21"/>
        <v>11.8</v>
      </c>
      <c r="Y31" s="38">
        <v>17.190000000000001</v>
      </c>
      <c r="Z31" s="18" t="s">
        <v>79</v>
      </c>
      <c r="AA31" s="38" t="str">
        <f t="shared" si="20"/>
        <v>Yes</v>
      </c>
      <c r="AB31" s="51"/>
      <c r="AC31" s="18" t="s">
        <v>111</v>
      </c>
      <c r="AD31" s="55">
        <f t="shared" si="18"/>
        <v>23.95</v>
      </c>
      <c r="AE31" s="39"/>
      <c r="AF31" s="18"/>
      <c r="AG31" s="18"/>
      <c r="AH31" s="18"/>
      <c r="AI31" s="18"/>
      <c r="AJ31" s="52">
        <v>-15.46</v>
      </c>
      <c r="AK31" s="52">
        <v>20.95</v>
      </c>
      <c r="AL31" s="52"/>
      <c r="AM31" s="52"/>
      <c r="AN31" s="52"/>
      <c r="AO31" s="52"/>
      <c r="AP31" s="52"/>
      <c r="AQ31" s="52">
        <v>18.100000000000001</v>
      </c>
      <c r="AR31" s="52">
        <v>18</v>
      </c>
      <c r="AS31" s="52" t="s">
        <v>32</v>
      </c>
      <c r="AT31" s="18"/>
      <c r="AU31" s="18"/>
      <c r="AV31" s="87"/>
      <c r="AW31" s="87"/>
      <c r="AX31" s="87"/>
      <c r="AY31" s="87"/>
      <c r="AZ31" s="87"/>
      <c r="BA31" s="87"/>
      <c r="BB31" s="160" t="s">
        <v>201</v>
      </c>
    </row>
    <row r="32" spans="1:55" x14ac:dyDescent="0.2">
      <c r="A32" s="38" t="s">
        <v>101</v>
      </c>
      <c r="B32" s="39"/>
      <c r="C32" s="38"/>
      <c r="D32" s="38"/>
      <c r="E32" s="18" t="s">
        <v>168</v>
      </c>
      <c r="F32" s="47">
        <v>8.9</v>
      </c>
      <c r="G32" s="38" t="s">
        <v>199</v>
      </c>
      <c r="H32" s="38">
        <v>6.5</v>
      </c>
      <c r="I32" s="38">
        <f t="shared" si="22"/>
        <v>21.254999999999999</v>
      </c>
      <c r="J32" s="38">
        <v>11.1</v>
      </c>
      <c r="K32" s="135">
        <f t="shared" si="10"/>
        <v>631.42527333494809</v>
      </c>
      <c r="L32" s="136">
        <f t="shared" si="11"/>
        <v>19.948065548771364</v>
      </c>
      <c r="M32" s="136">
        <f t="shared" si="12"/>
        <v>25.574443011245339</v>
      </c>
      <c r="N32" s="137">
        <f t="shared" si="23"/>
        <v>-16.674443011245337</v>
      </c>
      <c r="O32" s="136">
        <f t="shared" si="13"/>
        <v>8.9</v>
      </c>
      <c r="P32" s="261">
        <v>-2824</v>
      </c>
      <c r="Q32" s="261">
        <v>148</v>
      </c>
      <c r="R32" s="79">
        <f t="shared" si="4"/>
        <v>8.6051288732319434E-3</v>
      </c>
      <c r="S32" s="53">
        <f t="shared" si="14"/>
        <v>116.20976451738098</v>
      </c>
      <c r="T32" s="54">
        <f t="shared" si="15"/>
        <v>6.0135135135135138E-2</v>
      </c>
      <c r="U32" s="53">
        <f t="shared" si="16"/>
        <v>16.629213483146067</v>
      </c>
      <c r="V32" s="51">
        <v>2.6</v>
      </c>
      <c r="W32" s="39"/>
      <c r="X32" s="44">
        <f t="shared" si="21"/>
        <v>11.5</v>
      </c>
      <c r="Y32" s="38">
        <v>1.47</v>
      </c>
      <c r="Z32" s="18" t="s">
        <v>79</v>
      </c>
      <c r="AA32" s="38" t="str">
        <f t="shared" si="20"/>
        <v>No</v>
      </c>
      <c r="AB32" s="51"/>
      <c r="AC32" s="18" t="s">
        <v>113</v>
      </c>
      <c r="AD32" s="55">
        <f>IF(F32+Y32&lt;AK32+3,F32+Y32,AK32+3)</f>
        <v>10.370000000000001</v>
      </c>
      <c r="AE32" s="39"/>
      <c r="AF32" s="18"/>
      <c r="AG32" s="18"/>
      <c r="AH32" s="18"/>
      <c r="AI32" s="18"/>
      <c r="AJ32" s="52">
        <v>-2.61</v>
      </c>
      <c r="AK32" s="18">
        <v>11.48</v>
      </c>
      <c r="AL32" s="18"/>
      <c r="AM32" s="18"/>
      <c r="AN32" s="18"/>
      <c r="AO32" s="18"/>
      <c r="AP32" s="18"/>
      <c r="AQ32" s="52">
        <v>15.5</v>
      </c>
      <c r="AR32" s="52">
        <v>12</v>
      </c>
      <c r="AS32" s="52" t="s">
        <v>32</v>
      </c>
      <c r="AT32" s="18"/>
      <c r="AU32" s="18"/>
      <c r="AV32" s="87"/>
      <c r="AW32" s="87"/>
      <c r="AX32" s="87" t="s">
        <v>207</v>
      </c>
      <c r="AY32" s="87"/>
      <c r="AZ32" s="87"/>
      <c r="BA32" s="87"/>
      <c r="BB32" s="160" t="s">
        <v>203</v>
      </c>
    </row>
    <row r="33" spans="1:55" x14ac:dyDescent="0.2">
      <c r="A33" s="38" t="s">
        <v>102</v>
      </c>
      <c r="B33" s="39"/>
      <c r="C33" s="38"/>
      <c r="D33" s="38"/>
      <c r="E33" s="38" t="s">
        <v>167</v>
      </c>
      <c r="F33" s="47">
        <v>8.9</v>
      </c>
      <c r="G33" s="38" t="s">
        <v>199</v>
      </c>
      <c r="H33" s="38">
        <v>6.5</v>
      </c>
      <c r="I33" s="38">
        <f t="shared" si="22"/>
        <v>21.254999999999999</v>
      </c>
      <c r="J33" s="38">
        <v>11.1</v>
      </c>
      <c r="K33" s="135">
        <f t="shared" si="10"/>
        <v>631.42527333494809</v>
      </c>
      <c r="L33" s="136">
        <f t="shared" si="11"/>
        <v>19.948065548771364</v>
      </c>
      <c r="M33" s="136">
        <f t="shared" si="12"/>
        <v>25.574443011245339</v>
      </c>
      <c r="N33" s="137">
        <f t="shared" si="23"/>
        <v>-16.674443011245337</v>
      </c>
      <c r="O33" s="136">
        <f t="shared" si="13"/>
        <v>8.9</v>
      </c>
      <c r="P33" s="261">
        <v>-1610</v>
      </c>
      <c r="Q33" s="261">
        <v>25</v>
      </c>
      <c r="R33" s="79">
        <f t="shared" si="4"/>
        <v>1.5641861168957393E-2</v>
      </c>
      <c r="S33" s="53">
        <f t="shared" si="14"/>
        <v>63.931011098895652</v>
      </c>
      <c r="T33" s="54">
        <f t="shared" si="15"/>
        <v>0.35600000000000004</v>
      </c>
      <c r="U33" s="53">
        <f t="shared" si="16"/>
        <v>2.8089887640449436</v>
      </c>
      <c r="V33" s="51">
        <v>2.9</v>
      </c>
      <c r="W33" s="39">
        <v>3.8</v>
      </c>
      <c r="X33" s="44">
        <f t="shared" si="21"/>
        <v>12.7</v>
      </c>
      <c r="Y33" s="38">
        <v>14.6</v>
      </c>
      <c r="Z33" s="18" t="s">
        <v>80</v>
      </c>
      <c r="AA33" s="38" t="str">
        <f t="shared" si="20"/>
        <v>Yes</v>
      </c>
      <c r="AB33" s="51"/>
      <c r="AC33" s="18" t="s">
        <v>114</v>
      </c>
      <c r="AD33" s="55">
        <f t="shared" si="18"/>
        <v>18.05</v>
      </c>
      <c r="AE33" s="39"/>
      <c r="AF33" s="18"/>
      <c r="AG33" s="18"/>
      <c r="AH33" s="18"/>
      <c r="AI33" s="18"/>
      <c r="AJ33" s="52">
        <v>-2.41</v>
      </c>
      <c r="AK33" s="52">
        <v>15.05</v>
      </c>
      <c r="AL33" s="52"/>
      <c r="AM33" s="52"/>
      <c r="AN33" s="52"/>
      <c r="AO33" s="52"/>
      <c r="AP33" s="52"/>
      <c r="AQ33" s="52">
        <v>18.100000000000001</v>
      </c>
      <c r="AR33" s="52">
        <v>18</v>
      </c>
      <c r="AS33" s="52" t="s">
        <v>32</v>
      </c>
      <c r="AT33" s="18"/>
      <c r="AU33" s="18"/>
      <c r="AV33" s="87"/>
      <c r="AW33" s="87"/>
      <c r="AX33" s="87"/>
      <c r="AY33" s="87"/>
      <c r="AZ33" s="87"/>
      <c r="BA33" s="87"/>
      <c r="BB33" s="160" t="s">
        <v>208</v>
      </c>
    </row>
    <row r="34" spans="1:55" x14ac:dyDescent="0.2">
      <c r="A34" s="38" t="s">
        <v>103</v>
      </c>
      <c r="B34" s="39"/>
      <c r="C34" s="38"/>
      <c r="D34" s="38"/>
      <c r="E34" s="18" t="s">
        <v>166</v>
      </c>
      <c r="F34" s="47">
        <v>8.9</v>
      </c>
      <c r="G34" s="38" t="s">
        <v>199</v>
      </c>
      <c r="H34" s="38">
        <v>6.5</v>
      </c>
      <c r="I34" s="38">
        <f t="shared" si="22"/>
        <v>21.254999999999999</v>
      </c>
      <c r="J34" s="38">
        <v>11.1</v>
      </c>
      <c r="K34" s="135">
        <f t="shared" si="10"/>
        <v>631.42527333494809</v>
      </c>
      <c r="L34" s="136">
        <f t="shared" si="11"/>
        <v>19.948065548771364</v>
      </c>
      <c r="M34" s="136">
        <f t="shared" si="12"/>
        <v>25.574443011245339</v>
      </c>
      <c r="N34" s="137">
        <f t="shared" si="23"/>
        <v>-16.674443011245337</v>
      </c>
      <c r="O34" s="136">
        <f t="shared" si="13"/>
        <v>8.9</v>
      </c>
      <c r="P34" s="262">
        <v>-1620</v>
      </c>
      <c r="Q34" s="262">
        <v>76</v>
      </c>
      <c r="R34" s="79">
        <f t="shared" si="4"/>
        <v>1.5079270643422958E-2</v>
      </c>
      <c r="S34" s="53">
        <f t="shared" si="14"/>
        <v>66.316204785154142</v>
      </c>
      <c r="T34" s="54">
        <f t="shared" si="15"/>
        <v>0.11710526315789474</v>
      </c>
      <c r="U34" s="53">
        <f t="shared" si="16"/>
        <v>8.5393258426966288</v>
      </c>
      <c r="V34" s="51">
        <v>2.9</v>
      </c>
      <c r="W34" s="39"/>
      <c r="X34" s="44">
        <f t="shared" si="21"/>
        <v>11.8</v>
      </c>
      <c r="Y34" s="38">
        <v>8.85</v>
      </c>
      <c r="Z34" s="18" t="s">
        <v>90</v>
      </c>
      <c r="AA34" s="38" t="str">
        <f t="shared" si="20"/>
        <v>Yes</v>
      </c>
      <c r="AB34" s="51"/>
      <c r="AC34" s="18" t="s">
        <v>115</v>
      </c>
      <c r="AD34" s="55">
        <f t="shared" si="18"/>
        <v>17.75</v>
      </c>
      <c r="AE34" s="39"/>
      <c r="AF34" s="18"/>
      <c r="AG34" s="18"/>
      <c r="AH34" s="18"/>
      <c r="AI34" s="18"/>
      <c r="AJ34" s="52">
        <v>-7.0000000000000007E-2</v>
      </c>
      <c r="AK34" s="18">
        <v>16.350000000000001</v>
      </c>
      <c r="AL34" s="18"/>
      <c r="AM34" s="18"/>
      <c r="AN34" s="18"/>
      <c r="AO34" s="18"/>
      <c r="AP34" s="18"/>
      <c r="AQ34" s="52">
        <v>16.2</v>
      </c>
      <c r="AR34" s="52">
        <v>18</v>
      </c>
      <c r="AS34" s="52" t="s">
        <v>32</v>
      </c>
      <c r="AT34" s="18"/>
      <c r="AU34" s="18"/>
      <c r="AV34" s="87"/>
      <c r="AW34" s="87"/>
      <c r="AX34" s="87" t="s">
        <v>207</v>
      </c>
      <c r="AY34" s="87"/>
      <c r="AZ34" s="87"/>
      <c r="BA34" s="87"/>
      <c r="BB34" s="87" t="s">
        <v>205</v>
      </c>
    </row>
    <row r="35" spans="1:55" x14ac:dyDescent="0.2">
      <c r="A35" s="38" t="s">
        <v>119</v>
      </c>
      <c r="B35" s="39"/>
      <c r="C35" s="38"/>
      <c r="D35" s="38"/>
      <c r="E35" s="18" t="s">
        <v>174</v>
      </c>
      <c r="F35" s="47">
        <v>8.9</v>
      </c>
      <c r="G35" s="47" t="s">
        <v>204</v>
      </c>
      <c r="H35" s="47">
        <v>6.5</v>
      </c>
      <c r="I35" s="38">
        <f t="shared" ref="I35:I52" si="24">H35*3.27</f>
        <v>21.254999999999999</v>
      </c>
      <c r="J35" s="38">
        <v>11.1</v>
      </c>
      <c r="K35" s="135">
        <f t="shared" si="10"/>
        <v>631.42527333494809</v>
      </c>
      <c r="L35" s="136">
        <f t="shared" si="11"/>
        <v>19.948065548771364</v>
      </c>
      <c r="M35" s="136">
        <f t="shared" si="12"/>
        <v>25.574443011245339</v>
      </c>
      <c r="N35" s="137">
        <f t="shared" si="23"/>
        <v>-16.674443011245337</v>
      </c>
      <c r="O35" s="136">
        <f t="shared" si="13"/>
        <v>8.9</v>
      </c>
      <c r="P35" s="262">
        <v>-1324</v>
      </c>
      <c r="Q35" s="261">
        <v>232</v>
      </c>
      <c r="R35" s="79">
        <f t="shared" si="4"/>
        <v>1.6436017359412171E-2</v>
      </c>
      <c r="S35" s="53">
        <f t="shared" si="14"/>
        <v>60.841989767511699</v>
      </c>
      <c r="T35" s="54">
        <f t="shared" si="15"/>
        <v>3.8362068965517242E-2</v>
      </c>
      <c r="U35" s="53">
        <f t="shared" si="16"/>
        <v>26.067415730337078</v>
      </c>
      <c r="V35" s="51">
        <v>3</v>
      </c>
      <c r="W35" s="39">
        <v>3.5</v>
      </c>
      <c r="X35" s="44">
        <f t="shared" ref="X35:X45" si="25">IF(W35&lt;&gt;"",W35+F35,F35+V35)</f>
        <v>12.4</v>
      </c>
      <c r="Y35" s="38">
        <v>9.6999999999999993</v>
      </c>
      <c r="Z35" s="18" t="s">
        <v>90</v>
      </c>
      <c r="AA35" s="38" t="str">
        <f t="shared" si="20"/>
        <v>Yes</v>
      </c>
      <c r="AB35" s="51"/>
      <c r="AC35" s="18" t="s">
        <v>114</v>
      </c>
      <c r="AD35" s="55">
        <f t="shared" si="18"/>
        <v>16.07</v>
      </c>
      <c r="AE35" s="39"/>
      <c r="AF35" s="18"/>
      <c r="AG35" s="18"/>
      <c r="AH35" s="18"/>
      <c r="AI35" s="18"/>
      <c r="AJ35" s="52">
        <v>7.53</v>
      </c>
      <c r="AK35" s="18">
        <v>13.07</v>
      </c>
      <c r="AL35" s="18"/>
      <c r="AM35" s="18"/>
      <c r="AN35" s="18"/>
      <c r="AO35" s="18"/>
      <c r="AP35" s="18"/>
      <c r="AQ35" s="52">
        <v>16.2</v>
      </c>
      <c r="AR35" s="52">
        <v>16</v>
      </c>
      <c r="AS35" s="52" t="s">
        <v>32</v>
      </c>
      <c r="AT35" s="18"/>
      <c r="AU35" s="18"/>
      <c r="AV35" s="87"/>
      <c r="AW35" s="87"/>
      <c r="AX35" s="87"/>
      <c r="AY35" s="87"/>
      <c r="AZ35" s="87"/>
      <c r="BA35" s="87"/>
      <c r="BB35" s="160"/>
    </row>
    <row r="36" spans="1:55" x14ac:dyDescent="0.2">
      <c r="A36" s="38" t="s">
        <v>128</v>
      </c>
      <c r="B36" s="39"/>
      <c r="C36" s="38"/>
      <c r="D36" s="38"/>
      <c r="E36" s="18" t="s">
        <v>151</v>
      </c>
      <c r="F36" s="47">
        <v>8.9</v>
      </c>
      <c r="G36" s="47" t="s">
        <v>204</v>
      </c>
      <c r="H36" s="47">
        <v>6.5</v>
      </c>
      <c r="I36" s="38">
        <f t="shared" si="24"/>
        <v>21.254999999999999</v>
      </c>
      <c r="J36" s="38">
        <v>11.1</v>
      </c>
      <c r="K36" s="135">
        <f t="shared" si="10"/>
        <v>631.42527333494809</v>
      </c>
      <c r="L36" s="136">
        <f t="shared" si="11"/>
        <v>19.948065548771364</v>
      </c>
      <c r="M36" s="136">
        <f t="shared" si="12"/>
        <v>25.574443011245339</v>
      </c>
      <c r="N36" s="137">
        <f t="shared" si="23"/>
        <v>-16.674443011245337</v>
      </c>
      <c r="O36" s="136">
        <f t="shared" si="13"/>
        <v>8.9</v>
      </c>
      <c r="P36" s="262">
        <v>-360</v>
      </c>
      <c r="Q36" s="261">
        <v>149</v>
      </c>
      <c r="R36" s="79">
        <f t="shared" si="4"/>
        <v>5.0244485287318931E-2</v>
      </c>
      <c r="S36" s="53">
        <f t="shared" si="14"/>
        <v>19.902681742714304</v>
      </c>
      <c r="T36" s="54">
        <f t="shared" si="15"/>
        <v>5.9731543624161075E-2</v>
      </c>
      <c r="U36" s="53">
        <f t="shared" si="16"/>
        <v>16.741573033707866</v>
      </c>
      <c r="V36" s="51">
        <v>3.7</v>
      </c>
      <c r="W36" s="39"/>
      <c r="X36" s="44">
        <f t="shared" si="25"/>
        <v>12.600000000000001</v>
      </c>
      <c r="Y36" s="38">
        <v>22.6</v>
      </c>
      <c r="Z36" s="18" t="s">
        <v>140</v>
      </c>
      <c r="AA36" s="38" t="str">
        <f t="shared" si="20"/>
        <v>Yes</v>
      </c>
      <c r="AB36" s="51"/>
      <c r="AC36" s="18" t="s">
        <v>88</v>
      </c>
      <c r="AD36" s="55">
        <f t="shared" si="18"/>
        <v>17.600000000000001</v>
      </c>
      <c r="AE36" s="39"/>
      <c r="AF36" s="18"/>
      <c r="AG36" s="18"/>
      <c r="AH36" s="18"/>
      <c r="AI36" s="18"/>
      <c r="AJ36" s="52">
        <v>2.7</v>
      </c>
      <c r="AK36" s="18">
        <v>14.6</v>
      </c>
      <c r="AL36" s="18"/>
      <c r="AM36" s="18"/>
      <c r="AN36" s="18"/>
      <c r="AO36" s="18"/>
      <c r="AP36" s="18"/>
      <c r="AQ36" s="52">
        <v>18.100000000000001</v>
      </c>
      <c r="AR36" s="52">
        <v>15</v>
      </c>
      <c r="AS36" s="52" t="s">
        <v>32</v>
      </c>
      <c r="AT36" s="18"/>
      <c r="AU36" s="18"/>
      <c r="AV36" s="87"/>
      <c r="AW36" s="87"/>
      <c r="AX36" s="87"/>
      <c r="AY36" s="87"/>
      <c r="AZ36" s="87"/>
      <c r="BA36" s="87"/>
      <c r="BB36" s="160"/>
    </row>
    <row r="37" spans="1:55" x14ac:dyDescent="0.2">
      <c r="A37" s="38" t="s">
        <v>129</v>
      </c>
      <c r="B37" s="39"/>
      <c r="C37" s="38"/>
      <c r="D37" s="38"/>
      <c r="E37" s="38" t="s">
        <v>152</v>
      </c>
      <c r="F37" s="47">
        <v>8.9</v>
      </c>
      <c r="G37" s="47" t="s">
        <v>199</v>
      </c>
      <c r="H37" s="47">
        <v>2</v>
      </c>
      <c r="I37" s="38">
        <f t="shared" si="24"/>
        <v>6.54</v>
      </c>
      <c r="J37" s="38">
        <v>11.1</v>
      </c>
      <c r="K37" s="135">
        <f t="shared" si="10"/>
        <v>631.42527333494809</v>
      </c>
      <c r="L37" s="136">
        <f t="shared" si="11"/>
        <v>9.0917024247027207</v>
      </c>
      <c r="M37" s="136">
        <f t="shared" si="12"/>
        <v>11.656028749618873</v>
      </c>
      <c r="N37" s="137">
        <f t="shared" si="23"/>
        <v>-2.7560287496188725</v>
      </c>
      <c r="O37" s="136">
        <f t="shared" si="13"/>
        <v>8.9</v>
      </c>
      <c r="P37" s="262">
        <v>-143</v>
      </c>
      <c r="Q37" s="261">
        <v>61</v>
      </c>
      <c r="R37" s="79">
        <f t="shared" si="4"/>
        <v>5.7137395831465064E-2</v>
      </c>
      <c r="S37" s="53">
        <f t="shared" si="14"/>
        <v>17.501672686477406</v>
      </c>
      <c r="T37" s="54">
        <f t="shared" si="15"/>
        <v>0.14590163934426231</v>
      </c>
      <c r="U37" s="53">
        <f t="shared" si="16"/>
        <v>6.8539325842696623</v>
      </c>
      <c r="V37" s="51">
        <v>1.5</v>
      </c>
      <c r="W37" s="39">
        <v>2.4</v>
      </c>
      <c r="X37" s="44">
        <f t="shared" si="25"/>
        <v>11.3</v>
      </c>
      <c r="Y37" s="38">
        <v>12</v>
      </c>
      <c r="Z37" s="18" t="s">
        <v>80</v>
      </c>
      <c r="AA37" s="38" t="str">
        <f t="shared" si="20"/>
        <v>Yes</v>
      </c>
      <c r="AB37" s="51"/>
      <c r="AC37" s="18" t="s">
        <v>88</v>
      </c>
      <c r="AD37" s="55">
        <f t="shared" si="18"/>
        <v>20.9</v>
      </c>
      <c r="AE37" s="39"/>
      <c r="AF37" s="18"/>
      <c r="AG37" s="18"/>
      <c r="AH37" s="18"/>
      <c r="AI37" s="18"/>
      <c r="AJ37" s="52">
        <v>-1.3</v>
      </c>
      <c r="AK37" s="18">
        <v>18.899999999999999</v>
      </c>
      <c r="AL37" s="18"/>
      <c r="AM37" s="18"/>
      <c r="AN37" s="18"/>
      <c r="AO37" s="18"/>
      <c r="AP37" s="18"/>
      <c r="AQ37" s="52">
        <v>13.4</v>
      </c>
      <c r="AR37" s="52">
        <v>16</v>
      </c>
      <c r="AS37" s="52" t="s">
        <v>32</v>
      </c>
      <c r="AT37" s="18"/>
      <c r="AU37" s="18"/>
      <c r="AV37" s="87"/>
      <c r="AW37" s="87"/>
      <c r="AX37" s="87"/>
      <c r="AY37" s="87"/>
      <c r="AZ37" s="87"/>
      <c r="BA37" s="87"/>
      <c r="BB37" s="160"/>
      <c r="BC37" s="258" t="s">
        <v>534</v>
      </c>
    </row>
    <row r="38" spans="1:55" x14ac:dyDescent="0.2">
      <c r="A38" s="38" t="s">
        <v>130</v>
      </c>
      <c r="B38" s="39"/>
      <c r="C38" s="38"/>
      <c r="D38" s="38"/>
      <c r="E38" s="18" t="s">
        <v>153</v>
      </c>
      <c r="F38" s="47">
        <v>8.9</v>
      </c>
      <c r="G38" s="47" t="s">
        <v>199</v>
      </c>
      <c r="H38" s="47">
        <v>2</v>
      </c>
      <c r="I38" s="38">
        <f t="shared" si="24"/>
        <v>6.54</v>
      </c>
      <c r="J38" s="38">
        <v>11.1</v>
      </c>
      <c r="K38" s="135">
        <f t="shared" si="10"/>
        <v>631.42527333494809</v>
      </c>
      <c r="L38" s="136">
        <f t="shared" si="11"/>
        <v>9.0917024247027207</v>
      </c>
      <c r="M38" s="136">
        <f t="shared" si="12"/>
        <v>11.656028749618873</v>
      </c>
      <c r="N38" s="137">
        <f t="shared" si="23"/>
        <v>-2.7560287496188725</v>
      </c>
      <c r="O38" s="136">
        <f t="shared" si="13"/>
        <v>8.9</v>
      </c>
      <c r="P38" s="262">
        <v>-159</v>
      </c>
      <c r="Q38" s="261">
        <v>166</v>
      </c>
      <c r="R38" s="79">
        <f t="shared" si="4"/>
        <v>3.5864703844981145E-2</v>
      </c>
      <c r="S38" s="53">
        <f t="shared" si="14"/>
        <v>27.882566779927238</v>
      </c>
      <c r="T38" s="54">
        <f t="shared" si="15"/>
        <v>5.3614457831325305E-2</v>
      </c>
      <c r="U38" s="53">
        <f t="shared" si="16"/>
        <v>18.651685393258425</v>
      </c>
      <c r="V38" s="51">
        <v>1.3</v>
      </c>
      <c r="W38" s="39"/>
      <c r="X38" s="44">
        <f t="shared" si="25"/>
        <v>10.200000000000001</v>
      </c>
      <c r="Y38" s="38">
        <v>16</v>
      </c>
      <c r="Z38" s="18" t="s">
        <v>140</v>
      </c>
      <c r="AA38" s="38" t="str">
        <f t="shared" si="20"/>
        <v>Yes</v>
      </c>
      <c r="AB38" s="51"/>
      <c r="AC38" s="18" t="s">
        <v>81</v>
      </c>
      <c r="AD38" s="55">
        <f t="shared" si="18"/>
        <v>12.39</v>
      </c>
      <c r="AE38" s="39"/>
      <c r="AF38" s="18"/>
      <c r="AG38" s="18"/>
      <c r="AH38" s="18"/>
      <c r="AI38" s="18"/>
      <c r="AJ38" s="18">
        <v>-2.79</v>
      </c>
      <c r="AK38" s="18">
        <v>9.39</v>
      </c>
      <c r="AL38" s="18"/>
      <c r="AM38" s="18"/>
      <c r="AN38" s="18"/>
      <c r="AO38" s="18"/>
      <c r="AP38" s="18"/>
      <c r="AQ38" s="52">
        <v>14.3</v>
      </c>
      <c r="AR38" s="52">
        <v>12</v>
      </c>
      <c r="AS38" s="52" t="s">
        <v>32</v>
      </c>
      <c r="AT38" s="18"/>
      <c r="AU38" s="18"/>
      <c r="AV38" s="87"/>
      <c r="AW38" s="87"/>
      <c r="AX38" s="87"/>
      <c r="AY38" s="87"/>
      <c r="AZ38" s="87"/>
      <c r="BA38" s="87"/>
      <c r="BB38" s="160"/>
      <c r="BC38" s="258" t="s">
        <v>534</v>
      </c>
    </row>
    <row r="39" spans="1:55" x14ac:dyDescent="0.2">
      <c r="A39" s="38" t="s">
        <v>131</v>
      </c>
      <c r="B39" s="39"/>
      <c r="C39" s="38"/>
      <c r="D39" s="38"/>
      <c r="E39" s="18" t="s">
        <v>154</v>
      </c>
      <c r="F39" s="47">
        <v>8.9</v>
      </c>
      <c r="G39" s="47" t="s">
        <v>202</v>
      </c>
      <c r="H39" s="47">
        <v>2</v>
      </c>
      <c r="I39" s="38">
        <f t="shared" si="24"/>
        <v>6.54</v>
      </c>
      <c r="J39" s="38">
        <v>11.1</v>
      </c>
      <c r="K39" s="135">
        <f t="shared" si="10"/>
        <v>631.42527333494809</v>
      </c>
      <c r="L39" s="136">
        <f t="shared" si="11"/>
        <v>9.0917024247027207</v>
      </c>
      <c r="M39" s="136">
        <f t="shared" si="12"/>
        <v>11.656028749618873</v>
      </c>
      <c r="N39" s="137">
        <f t="shared" si="23"/>
        <v>-2.7560287496188725</v>
      </c>
      <c r="O39" s="136">
        <f t="shared" si="13"/>
        <v>8.9</v>
      </c>
      <c r="P39" s="262">
        <v>-1245</v>
      </c>
      <c r="Q39" s="261">
        <v>669</v>
      </c>
      <c r="R39" s="79">
        <f t="shared" si="4"/>
        <v>6.0898791795291913E-3</v>
      </c>
      <c r="S39" s="53">
        <f t="shared" si="14"/>
        <v>164.20687020547919</v>
      </c>
      <c r="T39" s="54">
        <f t="shared" si="15"/>
        <v>1.3303437967115098E-2</v>
      </c>
      <c r="U39" s="53">
        <f t="shared" si="16"/>
        <v>75.168539325842687</v>
      </c>
      <c r="V39" s="51">
        <v>0.9</v>
      </c>
      <c r="W39" s="39"/>
      <c r="X39" s="44">
        <f t="shared" si="25"/>
        <v>9.8000000000000007</v>
      </c>
      <c r="Y39" s="38">
        <v>8.1999999999999993</v>
      </c>
      <c r="Z39" s="18" t="s">
        <v>92</v>
      </c>
      <c r="AA39" s="38" t="str">
        <f t="shared" si="20"/>
        <v>No</v>
      </c>
      <c r="AB39" s="51"/>
      <c r="AC39" s="18" t="s">
        <v>138</v>
      </c>
      <c r="AD39" s="55">
        <f t="shared" si="18"/>
        <v>17.100000000000001</v>
      </c>
      <c r="AE39" s="39"/>
      <c r="AF39" s="18"/>
      <c r="AG39" s="18"/>
      <c r="AH39" s="18"/>
      <c r="AI39" s="18"/>
      <c r="AJ39" s="52">
        <v>8.4</v>
      </c>
      <c r="AK39" s="18">
        <v>19.5</v>
      </c>
      <c r="AL39" s="18"/>
      <c r="AM39" s="18"/>
      <c r="AN39" s="18"/>
      <c r="AO39" s="18"/>
      <c r="AP39" s="18"/>
      <c r="AQ39" s="52">
        <v>15.5</v>
      </c>
      <c r="AR39" s="52">
        <v>13</v>
      </c>
      <c r="AS39" s="52" t="s">
        <v>32</v>
      </c>
      <c r="AT39" s="18"/>
      <c r="AU39" s="18"/>
      <c r="AV39" s="87"/>
      <c r="AW39" s="87"/>
      <c r="AX39" s="87"/>
      <c r="AY39" s="87"/>
      <c r="AZ39" s="87"/>
      <c r="BA39" s="87"/>
      <c r="BB39" s="160"/>
      <c r="BC39" s="258" t="s">
        <v>534</v>
      </c>
    </row>
    <row r="40" spans="1:55" x14ac:dyDescent="0.2">
      <c r="A40" s="38" t="s">
        <v>132</v>
      </c>
      <c r="B40" s="39"/>
      <c r="C40" s="38"/>
      <c r="D40" s="38"/>
      <c r="E40" s="18" t="s">
        <v>155</v>
      </c>
      <c r="F40" s="47">
        <v>8.9</v>
      </c>
      <c r="G40" s="47" t="s">
        <v>204</v>
      </c>
      <c r="H40" s="47">
        <v>6.5</v>
      </c>
      <c r="I40" s="38">
        <f t="shared" si="24"/>
        <v>21.254999999999999</v>
      </c>
      <c r="J40" s="38">
        <v>11.1</v>
      </c>
      <c r="K40" s="135">
        <f t="shared" si="10"/>
        <v>631.42527333494809</v>
      </c>
      <c r="L40" s="136">
        <f t="shared" si="11"/>
        <v>19.948065548771364</v>
      </c>
      <c r="M40" s="136">
        <f t="shared" si="12"/>
        <v>25.574443011245339</v>
      </c>
      <c r="N40" s="137">
        <f t="shared" si="23"/>
        <v>-16.674443011245337</v>
      </c>
      <c r="O40" s="136">
        <f t="shared" si="13"/>
        <v>8.9</v>
      </c>
      <c r="P40" s="262">
        <v>-907</v>
      </c>
      <c r="Q40" s="261">
        <v>60</v>
      </c>
      <c r="R40" s="79">
        <f t="shared" si="4"/>
        <v>2.6447200632104793E-2</v>
      </c>
      <c r="S40" s="53">
        <f t="shared" si="14"/>
        <v>37.811185157573149</v>
      </c>
      <c r="T40" s="54">
        <f t="shared" si="15"/>
        <v>0.14833333333333334</v>
      </c>
      <c r="U40" s="53">
        <f t="shared" si="16"/>
        <v>6.7415730337078648</v>
      </c>
      <c r="V40" s="51">
        <v>3.2</v>
      </c>
      <c r="W40" s="39"/>
      <c r="X40" s="44">
        <f t="shared" si="25"/>
        <v>12.100000000000001</v>
      </c>
      <c r="Y40" s="38">
        <v>20.3</v>
      </c>
      <c r="Z40" s="18" t="s">
        <v>80</v>
      </c>
      <c r="AA40" s="38" t="str">
        <f t="shared" si="20"/>
        <v>Yes</v>
      </c>
      <c r="AB40" s="51"/>
      <c r="AC40" s="18" t="s">
        <v>81</v>
      </c>
      <c r="AD40" s="55">
        <f t="shared" si="18"/>
        <v>22</v>
      </c>
      <c r="AE40" s="39"/>
      <c r="AF40" s="18"/>
      <c r="AG40" s="18"/>
      <c r="AH40" s="18"/>
      <c r="AI40" s="18"/>
      <c r="AJ40" s="18">
        <v>0</v>
      </c>
      <c r="AK40" s="18">
        <v>19</v>
      </c>
      <c r="AL40" s="18"/>
      <c r="AM40" s="18"/>
      <c r="AN40" s="18"/>
      <c r="AO40" s="18"/>
      <c r="AP40" s="18"/>
      <c r="AQ40" s="52">
        <v>17</v>
      </c>
      <c r="AR40" s="52">
        <v>22</v>
      </c>
      <c r="AS40" s="52" t="s">
        <v>32</v>
      </c>
      <c r="AT40" s="18"/>
      <c r="AU40" s="18"/>
      <c r="AV40" s="87"/>
      <c r="AW40" s="87"/>
      <c r="AX40" s="87"/>
      <c r="AY40" s="87"/>
      <c r="AZ40" s="87"/>
      <c r="BA40" s="87"/>
      <c r="BB40" s="160"/>
    </row>
    <row r="41" spans="1:55" x14ac:dyDescent="0.2">
      <c r="A41" s="38" t="s">
        <v>133</v>
      </c>
      <c r="B41" s="39"/>
      <c r="C41" s="38"/>
      <c r="D41" s="38"/>
      <c r="E41" s="18" t="s">
        <v>156</v>
      </c>
      <c r="F41" s="47">
        <v>8.9</v>
      </c>
      <c r="G41" s="47" t="s">
        <v>204</v>
      </c>
      <c r="H41" s="47">
        <v>6.5</v>
      </c>
      <c r="I41" s="38">
        <f t="shared" si="24"/>
        <v>21.254999999999999</v>
      </c>
      <c r="J41" s="38">
        <v>11.1</v>
      </c>
      <c r="K41" s="135">
        <f t="shared" si="10"/>
        <v>631.42527333494809</v>
      </c>
      <c r="L41" s="136">
        <f t="shared" si="11"/>
        <v>19.948065548771364</v>
      </c>
      <c r="M41" s="136">
        <f t="shared" si="12"/>
        <v>25.574443011245339</v>
      </c>
      <c r="N41" s="137">
        <f t="shared" si="23"/>
        <v>-16.674443011245337</v>
      </c>
      <c r="O41" s="136">
        <f t="shared" si="13"/>
        <v>8.9</v>
      </c>
      <c r="P41" s="262">
        <v>-548</v>
      </c>
      <c r="Q41" s="261">
        <v>50</v>
      </c>
      <c r="R41" s="79">
        <f t="shared" si="4"/>
        <v>4.2766627109105913E-2</v>
      </c>
      <c r="S41" s="53">
        <f t="shared" si="14"/>
        <v>23.382718432501285</v>
      </c>
      <c r="T41" s="54">
        <f t="shared" si="15"/>
        <v>0.17800000000000002</v>
      </c>
      <c r="U41" s="53">
        <f t="shared" si="16"/>
        <v>5.6179775280898872</v>
      </c>
      <c r="V41" s="51">
        <v>3.57</v>
      </c>
      <c r="W41" s="39"/>
      <c r="X41" s="44">
        <f t="shared" si="25"/>
        <v>12.47</v>
      </c>
      <c r="Y41" s="38">
        <v>13.5</v>
      </c>
      <c r="Z41" s="18" t="s">
        <v>80</v>
      </c>
      <c r="AA41" s="38" t="str">
        <f t="shared" si="20"/>
        <v>No</v>
      </c>
      <c r="AB41" s="51"/>
      <c r="AC41" s="18" t="s">
        <v>81</v>
      </c>
      <c r="AD41" s="55">
        <f t="shared" si="18"/>
        <v>22.4</v>
      </c>
      <c r="AE41" s="39"/>
      <c r="AF41" s="18"/>
      <c r="AG41" s="18"/>
      <c r="AH41" s="18"/>
      <c r="AI41" s="18"/>
      <c r="AJ41" s="18">
        <v>3.12</v>
      </c>
      <c r="AK41" s="18">
        <v>25</v>
      </c>
      <c r="AL41" s="18"/>
      <c r="AM41" s="18"/>
      <c r="AN41" s="18"/>
      <c r="AO41" s="18"/>
      <c r="AP41" s="18"/>
      <c r="AQ41" s="52">
        <v>17.899999999999999</v>
      </c>
      <c r="AR41" s="52">
        <v>22</v>
      </c>
      <c r="AS41" s="52" t="s">
        <v>32</v>
      </c>
      <c r="AT41" s="18"/>
      <c r="AU41" s="18"/>
      <c r="AV41" s="87"/>
      <c r="AW41" s="87"/>
      <c r="AX41" s="87"/>
      <c r="AY41" s="87"/>
      <c r="AZ41" s="87"/>
      <c r="BA41" s="87"/>
      <c r="BB41" s="160"/>
    </row>
    <row r="42" spans="1:55" x14ac:dyDescent="0.2">
      <c r="A42" s="38" t="s">
        <v>134</v>
      </c>
      <c r="B42" s="39"/>
      <c r="C42" s="38"/>
      <c r="D42" s="38"/>
      <c r="E42" s="38" t="s">
        <v>157</v>
      </c>
      <c r="F42" s="47">
        <v>8.9</v>
      </c>
      <c r="G42" s="47" t="s">
        <v>204</v>
      </c>
      <c r="H42" s="47">
        <v>6.5</v>
      </c>
      <c r="I42" s="38">
        <f t="shared" si="24"/>
        <v>21.254999999999999</v>
      </c>
      <c r="J42" s="38">
        <v>11.1</v>
      </c>
      <c r="K42" s="135">
        <f t="shared" si="10"/>
        <v>631.42527333494809</v>
      </c>
      <c r="L42" s="136">
        <f t="shared" si="11"/>
        <v>19.948065548771364</v>
      </c>
      <c r="M42" s="136">
        <f t="shared" si="12"/>
        <v>25.574443011245339</v>
      </c>
      <c r="N42" s="137">
        <f t="shared" si="23"/>
        <v>-16.674443011245337</v>
      </c>
      <c r="O42" s="136">
        <f t="shared" si="13"/>
        <v>8.9</v>
      </c>
      <c r="P42" s="262">
        <v>-205</v>
      </c>
      <c r="Q42" s="261">
        <v>77</v>
      </c>
      <c r="R42" s="79">
        <f t="shared" si="4"/>
        <v>9.0689514224274237E-2</v>
      </c>
      <c r="S42" s="53">
        <f t="shared" si="14"/>
        <v>11.026633106965489</v>
      </c>
      <c r="T42" s="54">
        <f t="shared" si="15"/>
        <v>0.1155844155844156</v>
      </c>
      <c r="U42" s="53">
        <f t="shared" si="16"/>
        <v>8.6516853932584254</v>
      </c>
      <c r="V42" s="51">
        <v>4.2</v>
      </c>
      <c r="W42" s="39">
        <v>5.4</v>
      </c>
      <c r="X42" s="44">
        <f t="shared" si="25"/>
        <v>14.3</v>
      </c>
      <c r="Y42" s="38">
        <v>19</v>
      </c>
      <c r="Z42" s="18" t="s">
        <v>80</v>
      </c>
      <c r="AA42" s="38" t="str">
        <f t="shared" si="20"/>
        <v>No</v>
      </c>
      <c r="AB42" s="51"/>
      <c r="AC42" s="18" t="s">
        <v>81</v>
      </c>
      <c r="AD42" s="55">
        <f t="shared" si="18"/>
        <v>27.9</v>
      </c>
      <c r="AE42" s="39"/>
      <c r="AF42" s="18"/>
      <c r="AG42" s="18"/>
      <c r="AH42" s="18"/>
      <c r="AI42" s="18"/>
      <c r="AJ42" s="52">
        <v>-32.700000000000003</v>
      </c>
      <c r="AK42" s="18">
        <v>42.5</v>
      </c>
      <c r="AL42" s="18"/>
      <c r="AM42" s="18"/>
      <c r="AN42" s="18"/>
      <c r="AO42" s="18"/>
      <c r="AP42" s="18"/>
      <c r="AQ42" s="52">
        <v>21.2</v>
      </c>
      <c r="AR42" s="52">
        <v>26</v>
      </c>
      <c r="AS42" s="52" t="s">
        <v>32</v>
      </c>
      <c r="AT42" s="18"/>
      <c r="AU42" s="18"/>
      <c r="AV42" s="87"/>
      <c r="AW42" s="87"/>
      <c r="AX42" s="87"/>
      <c r="AY42" s="87"/>
      <c r="AZ42" s="87"/>
      <c r="BA42" s="87"/>
      <c r="BB42" s="160"/>
    </row>
    <row r="43" spans="1:55" x14ac:dyDescent="0.2">
      <c r="A43" s="38" t="s">
        <v>135</v>
      </c>
      <c r="B43" s="39"/>
      <c r="C43" s="38"/>
      <c r="D43" s="38"/>
      <c r="E43" s="18" t="s">
        <v>158</v>
      </c>
      <c r="F43" s="47">
        <v>8.9</v>
      </c>
      <c r="G43" s="47" t="s">
        <v>204</v>
      </c>
      <c r="H43" s="47">
        <v>6.5</v>
      </c>
      <c r="I43" s="38">
        <f t="shared" si="24"/>
        <v>21.254999999999999</v>
      </c>
      <c r="J43" s="38">
        <v>11.1</v>
      </c>
      <c r="K43" s="135">
        <f t="shared" si="10"/>
        <v>631.42527333494809</v>
      </c>
      <c r="L43" s="136">
        <f t="shared" si="11"/>
        <v>19.948065548771364</v>
      </c>
      <c r="M43" s="136">
        <f t="shared" si="12"/>
        <v>25.574443011245339</v>
      </c>
      <c r="N43" s="137">
        <f t="shared" si="23"/>
        <v>-16.674443011245337</v>
      </c>
      <c r="O43" s="136">
        <f t="shared" si="13"/>
        <v>8.9</v>
      </c>
      <c r="P43" s="262">
        <v>-415</v>
      </c>
      <c r="Q43" s="261">
        <v>23</v>
      </c>
      <c r="R43" s="79">
        <f t="shared" si="4"/>
        <v>5.8389139295080675E-2</v>
      </c>
      <c r="S43" s="53">
        <f t="shared" si="14"/>
        <v>17.12647269805278</v>
      </c>
      <c r="T43" s="54">
        <f t="shared" si="15"/>
        <v>0.38695652173913048</v>
      </c>
      <c r="U43" s="53">
        <f t="shared" si="16"/>
        <v>2.584269662921348</v>
      </c>
      <c r="V43" s="51">
        <v>3.8</v>
      </c>
      <c r="W43" s="39"/>
      <c r="X43" s="44">
        <f t="shared" si="25"/>
        <v>12.7</v>
      </c>
      <c r="Y43" s="38">
        <v>13.5</v>
      </c>
      <c r="Z43" s="18" t="s">
        <v>80</v>
      </c>
      <c r="AA43" s="38" t="str">
        <f t="shared" si="20"/>
        <v>Yes</v>
      </c>
      <c r="AB43" s="51"/>
      <c r="AC43" s="18" t="s">
        <v>114</v>
      </c>
      <c r="AD43" s="55">
        <f t="shared" si="18"/>
        <v>18.25</v>
      </c>
      <c r="AE43" s="39"/>
      <c r="AF43" s="18"/>
      <c r="AG43" s="18"/>
      <c r="AH43" s="18"/>
      <c r="AI43" s="18"/>
      <c r="AJ43" s="52">
        <v>3.5</v>
      </c>
      <c r="AK43" s="18">
        <v>15.25</v>
      </c>
      <c r="AL43" s="18"/>
      <c r="AM43" s="18"/>
      <c r="AN43" s="18"/>
      <c r="AO43" s="18"/>
      <c r="AP43" s="18"/>
      <c r="AQ43" s="52">
        <v>18.100000000000001</v>
      </c>
      <c r="AR43" s="52">
        <v>18</v>
      </c>
      <c r="AS43" s="52" t="s">
        <v>32</v>
      </c>
      <c r="AT43" s="18"/>
      <c r="AU43" s="18"/>
      <c r="AV43" s="87"/>
      <c r="AW43" s="87"/>
      <c r="AX43" s="87"/>
      <c r="AY43" s="87"/>
      <c r="AZ43" s="87"/>
      <c r="BA43" s="87"/>
      <c r="BB43" s="160"/>
    </row>
    <row r="44" spans="1:55" x14ac:dyDescent="0.2">
      <c r="A44" s="38" t="s">
        <v>136</v>
      </c>
      <c r="B44" s="39"/>
      <c r="C44" s="38"/>
      <c r="D44" s="38"/>
      <c r="E44" s="18" t="s">
        <v>159</v>
      </c>
      <c r="F44" s="47">
        <v>8.9</v>
      </c>
      <c r="G44" s="47" t="s">
        <v>204</v>
      </c>
      <c r="H44" s="47">
        <v>6.5</v>
      </c>
      <c r="I44" s="38">
        <f t="shared" si="24"/>
        <v>21.254999999999999</v>
      </c>
      <c r="J44" s="38">
        <v>11.1</v>
      </c>
      <c r="K44" s="135">
        <f t="shared" si="10"/>
        <v>631.42527333494809</v>
      </c>
      <c r="L44" s="136">
        <f t="shared" si="11"/>
        <v>19.948065548771364</v>
      </c>
      <c r="M44" s="136">
        <f t="shared" si="12"/>
        <v>25.574443011245339</v>
      </c>
      <c r="N44" s="137">
        <f t="shared" si="23"/>
        <v>-16.674443011245337</v>
      </c>
      <c r="O44" s="136">
        <f t="shared" si="13"/>
        <v>8.9</v>
      </c>
      <c r="P44" s="262">
        <v>-757</v>
      </c>
      <c r="Q44" s="261">
        <v>53</v>
      </c>
      <c r="R44" s="79">
        <f t="shared" si="4"/>
        <v>3.1573386433636219E-2</v>
      </c>
      <c r="S44" s="53">
        <f t="shared" si="14"/>
        <v>31.672244030645551</v>
      </c>
      <c r="T44" s="54">
        <f t="shared" si="15"/>
        <v>0.16792452830188681</v>
      </c>
      <c r="U44" s="53">
        <f t="shared" si="16"/>
        <v>5.9550561797752799</v>
      </c>
      <c r="V44" s="51">
        <v>3.4</v>
      </c>
      <c r="W44" s="39"/>
      <c r="X44" s="44">
        <f t="shared" si="25"/>
        <v>12.3</v>
      </c>
      <c r="Y44" s="38">
        <v>16.2</v>
      </c>
      <c r="Z44" s="18" t="s">
        <v>80</v>
      </c>
      <c r="AA44" s="38" t="str">
        <f t="shared" si="20"/>
        <v>Yes</v>
      </c>
      <c r="AB44" s="51"/>
      <c r="AC44" s="18" t="s">
        <v>139</v>
      </c>
      <c r="AD44" s="55">
        <f t="shared" si="18"/>
        <v>15.95</v>
      </c>
      <c r="AE44" s="39"/>
      <c r="AF44" s="18"/>
      <c r="AG44" s="18"/>
      <c r="AH44" s="18"/>
      <c r="AI44" s="18"/>
      <c r="AJ44" s="52">
        <v>-6.1</v>
      </c>
      <c r="AK44" s="18">
        <v>12.95</v>
      </c>
      <c r="AL44" s="18"/>
      <c r="AM44" s="18"/>
      <c r="AN44" s="18"/>
      <c r="AO44" s="18"/>
      <c r="AP44" s="18"/>
      <c r="AQ44" s="52">
        <v>17.600000000000001</v>
      </c>
      <c r="AR44" s="52">
        <v>16</v>
      </c>
      <c r="AS44" s="52" t="s">
        <v>32</v>
      </c>
      <c r="AT44" s="18"/>
      <c r="AU44" s="18"/>
      <c r="AV44" s="87"/>
      <c r="AW44" s="87"/>
      <c r="AX44" s="87"/>
      <c r="AY44" s="87"/>
      <c r="AZ44" s="87"/>
      <c r="BA44" s="87"/>
      <c r="BB44" s="160"/>
    </row>
    <row r="45" spans="1:55" x14ac:dyDescent="0.2">
      <c r="A45" s="38" t="s">
        <v>120</v>
      </c>
      <c r="B45" s="39"/>
      <c r="C45" s="38"/>
      <c r="D45" s="38"/>
      <c r="E45" s="18" t="s">
        <v>143</v>
      </c>
      <c r="F45" s="47">
        <v>8.9</v>
      </c>
      <c r="G45" s="47" t="s">
        <v>204</v>
      </c>
      <c r="H45" s="47">
        <v>6.5</v>
      </c>
      <c r="I45" s="38">
        <f t="shared" si="24"/>
        <v>21.254999999999999</v>
      </c>
      <c r="J45" s="38">
        <v>11.1</v>
      </c>
      <c r="K45" s="135">
        <f t="shared" si="10"/>
        <v>631.42527333494809</v>
      </c>
      <c r="L45" s="136">
        <f t="shared" si="11"/>
        <v>19.948065548771364</v>
      </c>
      <c r="M45" s="136">
        <f t="shared" si="12"/>
        <v>25.574443011245339</v>
      </c>
      <c r="N45" s="137">
        <f t="shared" si="23"/>
        <v>-16.674443011245337</v>
      </c>
      <c r="O45" s="136">
        <f t="shared" si="13"/>
        <v>8.9</v>
      </c>
      <c r="P45" s="262">
        <v>-1037</v>
      </c>
      <c r="Q45" s="261">
        <v>187</v>
      </c>
      <c r="R45" s="79">
        <f t="shared" si="4"/>
        <v>2.0894152786965145E-2</v>
      </c>
      <c r="S45" s="53">
        <f t="shared" si="14"/>
        <v>47.860279868531059</v>
      </c>
      <c r="T45" s="54">
        <f t="shared" si="15"/>
        <v>4.7593582887700533E-2</v>
      </c>
      <c r="U45" s="53">
        <f t="shared" si="16"/>
        <v>21.011235955056179</v>
      </c>
      <c r="V45" s="51">
        <v>3.1</v>
      </c>
      <c r="W45" s="39"/>
      <c r="X45" s="44">
        <f t="shared" si="25"/>
        <v>12</v>
      </c>
      <c r="Y45" s="38">
        <v>16.600000000000001</v>
      </c>
      <c r="Z45" s="18" t="s">
        <v>92</v>
      </c>
      <c r="AA45" s="38" t="str">
        <f t="shared" si="20"/>
        <v>Yes</v>
      </c>
      <c r="AB45" s="51"/>
      <c r="AC45" s="18" t="s">
        <v>137</v>
      </c>
      <c r="AD45" s="55">
        <f t="shared" si="18"/>
        <v>14.8</v>
      </c>
      <c r="AE45" s="39"/>
      <c r="AF45" s="18"/>
      <c r="AG45" s="18"/>
      <c r="AH45" s="18"/>
      <c r="AI45" s="18"/>
      <c r="AJ45" s="18" t="s">
        <v>200</v>
      </c>
      <c r="AK45" s="18">
        <v>11.8</v>
      </c>
      <c r="AL45" s="18"/>
      <c r="AM45" s="18"/>
      <c r="AN45" s="18"/>
      <c r="AO45" s="18"/>
      <c r="AP45" s="18"/>
      <c r="AQ45" s="52">
        <v>16.2</v>
      </c>
      <c r="AR45" s="52">
        <v>15</v>
      </c>
      <c r="AS45" s="52" t="s">
        <v>32</v>
      </c>
      <c r="AT45" s="18"/>
      <c r="AU45" s="18"/>
      <c r="AV45" s="87"/>
      <c r="AW45" s="87"/>
      <c r="AX45" s="267" t="s">
        <v>211</v>
      </c>
      <c r="AY45" s="87"/>
      <c r="AZ45" s="87"/>
      <c r="BA45" s="87"/>
      <c r="BB45" s="160"/>
    </row>
    <row r="46" spans="1:55" x14ac:dyDescent="0.2">
      <c r="A46" s="38" t="s">
        <v>121</v>
      </c>
      <c r="B46" s="39"/>
      <c r="C46" s="38"/>
      <c r="D46" s="38"/>
      <c r="E46" s="18" t="s">
        <v>144</v>
      </c>
      <c r="F46" s="47">
        <v>8.9</v>
      </c>
      <c r="G46" s="47" t="s">
        <v>204</v>
      </c>
      <c r="H46" s="47">
        <v>6.5</v>
      </c>
      <c r="I46" s="38">
        <f t="shared" si="24"/>
        <v>21.254999999999999</v>
      </c>
      <c r="J46" s="38">
        <v>11.1</v>
      </c>
      <c r="K46" s="135">
        <f t="shared" si="10"/>
        <v>631.42527333494809</v>
      </c>
      <c r="L46" s="136">
        <f t="shared" si="11"/>
        <v>19.948065548771364</v>
      </c>
      <c r="M46" s="136">
        <f t="shared" si="12"/>
        <v>25.574443011245339</v>
      </c>
      <c r="N46" s="137">
        <f t="shared" si="23"/>
        <v>-16.674443011245337</v>
      </c>
      <c r="O46" s="136">
        <f t="shared" si="13"/>
        <v>8.9</v>
      </c>
      <c r="P46" s="262">
        <v>-1337</v>
      </c>
      <c r="Q46" s="261">
        <v>168</v>
      </c>
      <c r="R46" s="79">
        <f t="shared" si="4"/>
        <v>1.6992985389531784E-2</v>
      </c>
      <c r="S46" s="53">
        <f t="shared" si="14"/>
        <v>58.847811439656248</v>
      </c>
      <c r="T46" s="54">
        <f t="shared" si="15"/>
        <v>5.2976190476190475E-2</v>
      </c>
      <c r="U46" s="53">
        <f t="shared" si="16"/>
        <v>18.876404494382022</v>
      </c>
      <c r="V46" s="51">
        <v>3</v>
      </c>
      <c r="W46" s="39">
        <v>3.5</v>
      </c>
      <c r="X46" s="44">
        <f t="shared" ref="X46:X67" si="26">IF(W46&gt;0, F46+W46, F46+V46)</f>
        <v>12.4</v>
      </c>
      <c r="Y46" s="38">
        <v>12.1</v>
      </c>
      <c r="Z46" s="18" t="s">
        <v>92</v>
      </c>
      <c r="AA46" s="38" t="str">
        <f t="shared" si="20"/>
        <v>Yes</v>
      </c>
      <c r="AB46" s="51"/>
      <c r="AC46" s="18" t="s">
        <v>114</v>
      </c>
      <c r="AD46" s="55">
        <f t="shared" si="18"/>
        <v>16.8</v>
      </c>
      <c r="AE46" s="39"/>
      <c r="AF46" s="18"/>
      <c r="AG46" s="18"/>
      <c r="AH46" s="18"/>
      <c r="AI46" s="18"/>
      <c r="AJ46" s="52">
        <v>8.8000000000000007</v>
      </c>
      <c r="AK46" s="18">
        <v>13.8</v>
      </c>
      <c r="AL46" s="18"/>
      <c r="AM46" s="18"/>
      <c r="AN46" s="18"/>
      <c r="AO46" s="18"/>
      <c r="AP46" s="18"/>
      <c r="AQ46" s="52">
        <v>16.7</v>
      </c>
      <c r="AR46" s="52">
        <v>16</v>
      </c>
      <c r="AS46" s="52" t="s">
        <v>32</v>
      </c>
      <c r="AT46" s="18"/>
      <c r="AU46" s="18"/>
      <c r="AV46" s="87"/>
      <c r="AW46" s="87"/>
      <c r="AX46" s="87"/>
      <c r="AY46" s="87"/>
      <c r="AZ46" s="87"/>
      <c r="BA46" s="87"/>
      <c r="BB46" s="160"/>
    </row>
    <row r="47" spans="1:55" x14ac:dyDescent="0.2">
      <c r="A47" s="38" t="s">
        <v>122</v>
      </c>
      <c r="B47" s="39"/>
      <c r="C47" s="38"/>
      <c r="D47" s="38"/>
      <c r="E47" s="38" t="s">
        <v>145</v>
      </c>
      <c r="F47" s="47">
        <v>8.9</v>
      </c>
      <c r="G47" s="47" t="s">
        <v>204</v>
      </c>
      <c r="H47" s="47">
        <v>6.5</v>
      </c>
      <c r="I47" s="38">
        <f t="shared" si="24"/>
        <v>21.254999999999999</v>
      </c>
      <c r="J47" s="38">
        <v>11.1</v>
      </c>
      <c r="K47" s="135">
        <f t="shared" si="10"/>
        <v>631.42527333494809</v>
      </c>
      <c r="L47" s="136">
        <f t="shared" si="11"/>
        <v>19.948065548771364</v>
      </c>
      <c r="M47" s="136">
        <f t="shared" si="12"/>
        <v>25.574443011245339</v>
      </c>
      <c r="N47" s="137">
        <f t="shared" si="23"/>
        <v>-16.674443011245337</v>
      </c>
      <c r="O47" s="136">
        <f t="shared" si="13"/>
        <v>8.9</v>
      </c>
      <c r="P47" s="262">
        <v>-2809</v>
      </c>
      <c r="Q47" s="261">
        <v>170</v>
      </c>
      <c r="R47" s="79">
        <f t="shared" si="4"/>
        <v>8.5849086979675523E-3</v>
      </c>
      <c r="S47" s="53">
        <f t="shared" si="14"/>
        <v>116.48347526826308</v>
      </c>
      <c r="T47" s="54">
        <f t="shared" si="15"/>
        <v>5.2352941176470588E-2</v>
      </c>
      <c r="U47" s="53">
        <f t="shared" si="16"/>
        <v>19.101123595505619</v>
      </c>
      <c r="V47" s="51">
        <v>2.6</v>
      </c>
      <c r="W47" s="39">
        <v>3</v>
      </c>
      <c r="X47" s="44">
        <f t="shared" si="26"/>
        <v>11.9</v>
      </c>
      <c r="Y47" s="38">
        <v>8.6</v>
      </c>
      <c r="Z47" s="18" t="s">
        <v>90</v>
      </c>
      <c r="AA47" s="38" t="str">
        <f t="shared" si="20"/>
        <v>Yes</v>
      </c>
      <c r="AB47" s="54"/>
      <c r="AC47" s="18" t="s">
        <v>114</v>
      </c>
      <c r="AD47" s="55">
        <f t="shared" si="18"/>
        <v>17.5</v>
      </c>
      <c r="AE47" s="39"/>
      <c r="AF47" s="18"/>
      <c r="AG47" s="18"/>
      <c r="AH47" s="18"/>
      <c r="AI47" s="18"/>
      <c r="AJ47" s="52">
        <v>8.14</v>
      </c>
      <c r="AK47" s="18">
        <v>16.350000000000001</v>
      </c>
      <c r="AL47" s="18"/>
      <c r="AM47" s="18"/>
      <c r="AN47" s="18"/>
      <c r="AO47" s="18"/>
      <c r="AP47" s="18"/>
      <c r="AQ47" s="52">
        <v>16.899999999999999</v>
      </c>
      <c r="AR47" s="52">
        <v>18</v>
      </c>
      <c r="AS47" s="52" t="s">
        <v>32</v>
      </c>
      <c r="AT47" s="18"/>
      <c r="AU47" s="18"/>
      <c r="AV47" s="87"/>
      <c r="AW47" s="87"/>
      <c r="AX47" s="87"/>
      <c r="AY47" s="87"/>
      <c r="AZ47" s="87"/>
      <c r="BA47" s="87"/>
      <c r="BB47" s="160"/>
    </row>
    <row r="48" spans="1:55" x14ac:dyDescent="0.2">
      <c r="A48" s="38" t="s">
        <v>123</v>
      </c>
      <c r="B48" s="39"/>
      <c r="C48" s="38"/>
      <c r="D48" s="38"/>
      <c r="E48" s="18" t="s">
        <v>146</v>
      </c>
      <c r="F48" s="47">
        <v>8.9</v>
      </c>
      <c r="G48" s="47" t="s">
        <v>204</v>
      </c>
      <c r="H48" s="47">
        <v>6.5</v>
      </c>
      <c r="I48" s="38">
        <f t="shared" si="24"/>
        <v>21.254999999999999</v>
      </c>
      <c r="J48" s="38">
        <v>11.1</v>
      </c>
      <c r="K48" s="135">
        <f t="shared" si="10"/>
        <v>631.42527333494809</v>
      </c>
      <c r="L48" s="136">
        <f t="shared" si="11"/>
        <v>19.948065548771364</v>
      </c>
      <c r="M48" s="136">
        <f t="shared" si="12"/>
        <v>25.574443011245339</v>
      </c>
      <c r="N48" s="137">
        <f t="shared" si="23"/>
        <v>-16.674443011245337</v>
      </c>
      <c r="O48" s="136">
        <f t="shared" si="13"/>
        <v>8.9</v>
      </c>
      <c r="P48" s="262">
        <v>-1900</v>
      </c>
      <c r="Q48" s="261">
        <v>179</v>
      </c>
      <c r="R48" s="79">
        <f t="shared" si="4"/>
        <v>1.2301319389728397E-2</v>
      </c>
      <c r="S48" s="53">
        <f t="shared" si="14"/>
        <v>81.292093011990247</v>
      </c>
      <c r="T48" s="54">
        <f t="shared" si="15"/>
        <v>4.9720670391061456E-2</v>
      </c>
      <c r="U48" s="53">
        <f t="shared" si="16"/>
        <v>20.112359550561795</v>
      </c>
      <c r="V48" s="51">
        <v>2.8</v>
      </c>
      <c r="W48" s="39">
        <v>3.59</v>
      </c>
      <c r="X48" s="44">
        <f t="shared" si="26"/>
        <v>12.49</v>
      </c>
      <c r="Y48" s="38">
        <v>16.350000000000001</v>
      </c>
      <c r="Z48" s="18" t="s">
        <v>90</v>
      </c>
      <c r="AA48" s="38" t="str">
        <f t="shared" si="20"/>
        <v>Yes</v>
      </c>
      <c r="AB48" s="54"/>
      <c r="AC48" s="18" t="s">
        <v>114</v>
      </c>
      <c r="AD48" s="55">
        <f t="shared" si="18"/>
        <v>18.399999999999999</v>
      </c>
      <c r="AE48" s="39"/>
      <c r="AF48" s="18"/>
      <c r="AG48" s="18"/>
      <c r="AH48" s="18"/>
      <c r="AI48" s="18"/>
      <c r="AJ48" s="52">
        <v>4.08</v>
      </c>
      <c r="AK48" s="18">
        <v>15.4</v>
      </c>
      <c r="AL48" s="18"/>
      <c r="AM48" s="18"/>
      <c r="AN48" s="18"/>
      <c r="AO48" s="18"/>
      <c r="AP48" s="18"/>
      <c r="AQ48" s="52">
        <v>17</v>
      </c>
      <c r="AR48" s="52">
        <v>16</v>
      </c>
      <c r="AS48" s="52" t="s">
        <v>32</v>
      </c>
      <c r="AT48" s="18"/>
      <c r="AU48" s="18"/>
      <c r="AV48" s="87"/>
      <c r="AW48" s="87"/>
      <c r="AX48" s="87"/>
      <c r="AY48" s="87"/>
      <c r="AZ48" s="87"/>
      <c r="BA48" s="87"/>
      <c r="BB48" s="160"/>
    </row>
    <row r="49" spans="1:55" x14ac:dyDescent="0.2">
      <c r="A49" s="38" t="s">
        <v>124</v>
      </c>
      <c r="B49" s="39"/>
      <c r="C49" s="38"/>
      <c r="D49" s="38"/>
      <c r="E49" s="18" t="s">
        <v>147</v>
      </c>
      <c r="F49" s="47">
        <v>8.9</v>
      </c>
      <c r="G49" s="47" t="s">
        <v>204</v>
      </c>
      <c r="H49" s="47">
        <v>6.5</v>
      </c>
      <c r="I49" s="38">
        <f t="shared" si="24"/>
        <v>21.254999999999999</v>
      </c>
      <c r="J49" s="38">
        <v>11.1</v>
      </c>
      <c r="K49" s="135">
        <f t="shared" si="10"/>
        <v>631.42527333494809</v>
      </c>
      <c r="L49" s="136">
        <f t="shared" si="11"/>
        <v>19.948065548771364</v>
      </c>
      <c r="M49" s="136">
        <f t="shared" si="12"/>
        <v>25.574443011245339</v>
      </c>
      <c r="N49" s="137">
        <f t="shared" si="23"/>
        <v>-16.674443011245337</v>
      </c>
      <c r="O49" s="136">
        <f t="shared" si="13"/>
        <v>8.9</v>
      </c>
      <c r="P49" s="262">
        <v>-2980</v>
      </c>
      <c r="Q49" s="261">
        <v>320</v>
      </c>
      <c r="R49" s="79">
        <f t="shared" si="4"/>
        <v>7.7498312155288894E-3</v>
      </c>
      <c r="S49" s="53">
        <f t="shared" si="14"/>
        <v>129.03506827300041</v>
      </c>
      <c r="T49" s="54">
        <f t="shared" si="15"/>
        <v>2.78125E-2</v>
      </c>
      <c r="U49" s="53">
        <f t="shared" si="16"/>
        <v>35.955056179775283</v>
      </c>
      <c r="V49" s="51">
        <v>2.5</v>
      </c>
      <c r="W49" s="39"/>
      <c r="X49" s="44">
        <f t="shared" si="26"/>
        <v>11.4</v>
      </c>
      <c r="Y49" s="38">
        <v>4.5</v>
      </c>
      <c r="Z49" s="18" t="s">
        <v>92</v>
      </c>
      <c r="AA49" s="38" t="str">
        <f t="shared" si="20"/>
        <v>Yes</v>
      </c>
      <c r="AB49" s="51"/>
      <c r="AC49" s="18" t="s">
        <v>114</v>
      </c>
      <c r="AD49" s="55">
        <f t="shared" si="18"/>
        <v>13.4</v>
      </c>
      <c r="AE49" s="39"/>
      <c r="AF49" s="18"/>
      <c r="AG49" s="18"/>
      <c r="AH49" s="18"/>
      <c r="AI49" s="18"/>
      <c r="AJ49" s="52">
        <v>-0.08</v>
      </c>
      <c r="AK49" s="18">
        <v>10.6</v>
      </c>
      <c r="AL49" s="18"/>
      <c r="AM49" s="18"/>
      <c r="AN49" s="18"/>
      <c r="AO49" s="18"/>
      <c r="AP49" s="18"/>
      <c r="AQ49" s="52">
        <v>15.3</v>
      </c>
      <c r="AR49" s="52">
        <v>11</v>
      </c>
      <c r="AS49" s="52" t="s">
        <v>219</v>
      </c>
      <c r="AT49" s="18"/>
      <c r="AU49" s="18"/>
      <c r="AV49" s="87"/>
      <c r="AW49" s="87"/>
      <c r="AX49" s="87"/>
      <c r="AY49" s="87"/>
      <c r="AZ49" s="87"/>
      <c r="BA49" s="87"/>
      <c r="BB49" s="160"/>
    </row>
    <row r="50" spans="1:55" x14ac:dyDescent="0.2">
      <c r="A50" s="266" t="s">
        <v>125</v>
      </c>
      <c r="B50" s="39"/>
      <c r="C50" s="38"/>
      <c r="D50" s="38"/>
      <c r="E50" s="18" t="s">
        <v>148</v>
      </c>
      <c r="F50" s="47">
        <v>8.9</v>
      </c>
      <c r="G50" s="47" t="s">
        <v>204</v>
      </c>
      <c r="H50" s="47">
        <v>6.5</v>
      </c>
      <c r="I50" s="38">
        <f t="shared" si="24"/>
        <v>21.254999999999999</v>
      </c>
      <c r="J50" s="38">
        <v>11.1</v>
      </c>
      <c r="K50" s="135">
        <f t="shared" si="10"/>
        <v>631.42527333494809</v>
      </c>
      <c r="L50" s="136">
        <f t="shared" si="11"/>
        <v>19.948065548771364</v>
      </c>
      <c r="M50" s="136">
        <f t="shared" si="12"/>
        <v>25.574443011245339</v>
      </c>
      <c r="N50" s="137">
        <f t="shared" si="23"/>
        <v>-16.674443011245337</v>
      </c>
      <c r="O50" s="136">
        <f t="shared" si="13"/>
        <v>8.9</v>
      </c>
      <c r="P50" s="262">
        <v>-1085</v>
      </c>
      <c r="Q50" s="261">
        <v>52</v>
      </c>
      <c r="R50" s="79">
        <f t="shared" si="4"/>
        <v>2.2492913818157729E-2</v>
      </c>
      <c r="S50" s="53">
        <f t="shared" si="14"/>
        <v>44.458446250424679</v>
      </c>
      <c r="T50" s="54">
        <f t="shared" si="15"/>
        <v>0.17115384615384616</v>
      </c>
      <c r="U50" s="53">
        <f t="shared" si="16"/>
        <v>5.8426966292134832</v>
      </c>
      <c r="V50" s="51">
        <v>3.1</v>
      </c>
      <c r="W50" s="39"/>
      <c r="X50" s="44">
        <f t="shared" si="26"/>
        <v>12</v>
      </c>
      <c r="Y50" s="38">
        <v>23.1</v>
      </c>
      <c r="Z50" s="18" t="s">
        <v>140</v>
      </c>
      <c r="AA50" s="38" t="str">
        <f t="shared" si="20"/>
        <v>Yes</v>
      </c>
      <c r="AB50" s="51"/>
      <c r="AC50" s="18" t="s">
        <v>81</v>
      </c>
      <c r="AD50" s="55">
        <f t="shared" si="18"/>
        <v>17.25</v>
      </c>
      <c r="AE50" s="39"/>
      <c r="AF50" s="18"/>
      <c r="AG50" s="18"/>
      <c r="AH50" s="18"/>
      <c r="AI50" s="18"/>
      <c r="AJ50" s="52">
        <v>-1.65</v>
      </c>
      <c r="AK50" s="18">
        <v>14.25</v>
      </c>
      <c r="AL50" s="18"/>
      <c r="AM50" s="18"/>
      <c r="AN50" s="18"/>
      <c r="AO50" s="18"/>
      <c r="AP50" s="18"/>
      <c r="AQ50" s="52">
        <v>17</v>
      </c>
      <c r="AR50" s="52">
        <v>17</v>
      </c>
      <c r="AS50" s="52" t="s">
        <v>32</v>
      </c>
      <c r="AT50" s="18"/>
      <c r="AU50" s="18"/>
      <c r="AV50" s="87"/>
      <c r="AW50" s="87"/>
      <c r="AX50" s="87"/>
      <c r="AY50" s="87"/>
      <c r="AZ50" s="87"/>
      <c r="BA50" s="87"/>
      <c r="BB50" s="160"/>
    </row>
    <row r="51" spans="1:55" x14ac:dyDescent="0.2">
      <c r="A51" s="38" t="s">
        <v>126</v>
      </c>
      <c r="B51" s="39"/>
      <c r="C51" s="38"/>
      <c r="D51" s="38"/>
      <c r="E51" s="18" t="s">
        <v>149</v>
      </c>
      <c r="F51" s="47">
        <v>8.9</v>
      </c>
      <c r="G51" s="47" t="s">
        <v>204</v>
      </c>
      <c r="H51" s="47">
        <v>6.5</v>
      </c>
      <c r="I51" s="38">
        <f t="shared" si="24"/>
        <v>21.254999999999999</v>
      </c>
      <c r="J51" s="38">
        <v>11.1</v>
      </c>
      <c r="K51" s="135">
        <f t="shared" si="10"/>
        <v>631.42527333494809</v>
      </c>
      <c r="L51" s="136">
        <f t="shared" si="11"/>
        <v>19.948065548771364</v>
      </c>
      <c r="M51" s="136">
        <f t="shared" si="12"/>
        <v>25.574443011245339</v>
      </c>
      <c r="N51" s="137">
        <f t="shared" si="23"/>
        <v>-16.674443011245337</v>
      </c>
      <c r="O51" s="136">
        <f t="shared" si="13"/>
        <v>8.9</v>
      </c>
      <c r="P51" s="262">
        <v>-641</v>
      </c>
      <c r="Q51" s="261">
        <v>260</v>
      </c>
      <c r="R51" s="79">
        <f t="shared" si="4"/>
        <v>2.8384509446443214E-2</v>
      </c>
      <c r="S51" s="53">
        <f t="shared" si="14"/>
        <v>35.230483792113141</v>
      </c>
      <c r="T51" s="54">
        <f t="shared" si="15"/>
        <v>3.4230769230769231E-2</v>
      </c>
      <c r="U51" s="53">
        <f t="shared" si="16"/>
        <v>29.213483146067414</v>
      </c>
      <c r="V51" s="51">
        <v>3.3</v>
      </c>
      <c r="W51" s="39"/>
      <c r="X51" s="44">
        <f t="shared" si="26"/>
        <v>12.2</v>
      </c>
      <c r="Y51" s="38">
        <v>10.199999999999999</v>
      </c>
      <c r="Z51" s="18" t="s">
        <v>92</v>
      </c>
      <c r="AA51" s="38" t="str">
        <f t="shared" si="20"/>
        <v>Yes</v>
      </c>
      <c r="AB51" s="51"/>
      <c r="AC51" s="18" t="s">
        <v>88</v>
      </c>
      <c r="AD51" s="55">
        <f t="shared" si="18"/>
        <v>15.5</v>
      </c>
      <c r="AE51" s="39"/>
      <c r="AF51" s="18"/>
      <c r="AG51" s="18"/>
      <c r="AH51" s="18"/>
      <c r="AI51" s="18"/>
      <c r="AJ51" s="52">
        <v>0.4</v>
      </c>
      <c r="AK51" s="18">
        <v>12.5</v>
      </c>
      <c r="AL51" s="18"/>
      <c r="AM51" s="18"/>
      <c r="AN51" s="18"/>
      <c r="AO51" s="18"/>
      <c r="AP51" s="18"/>
      <c r="AQ51" s="52">
        <v>18.100000000000001</v>
      </c>
      <c r="AR51" s="52">
        <v>16</v>
      </c>
      <c r="AS51" s="52" t="s">
        <v>32</v>
      </c>
      <c r="AT51" s="18"/>
      <c r="AU51" s="18"/>
      <c r="AV51" s="87"/>
      <c r="AW51" s="87"/>
      <c r="AX51" s="87"/>
      <c r="AY51" s="87"/>
      <c r="AZ51" s="87"/>
      <c r="BA51" s="87"/>
      <c r="BB51" s="160"/>
    </row>
    <row r="52" spans="1:55" x14ac:dyDescent="0.2">
      <c r="A52" s="38" t="s">
        <v>127</v>
      </c>
      <c r="B52" s="39"/>
      <c r="C52" s="38"/>
      <c r="D52" s="38"/>
      <c r="E52" s="38" t="s">
        <v>150</v>
      </c>
      <c r="F52" s="47">
        <v>8.9</v>
      </c>
      <c r="G52" s="47" t="s">
        <v>212</v>
      </c>
      <c r="H52" s="47">
        <v>2.2999999999999998</v>
      </c>
      <c r="I52" s="38">
        <f t="shared" si="24"/>
        <v>7.520999999999999</v>
      </c>
      <c r="J52" s="38">
        <v>11.1</v>
      </c>
      <c r="K52" s="135">
        <f t="shared" si="10"/>
        <v>631.42527333494809</v>
      </c>
      <c r="L52" s="136">
        <f t="shared" si="11"/>
        <v>9.9795380766721902</v>
      </c>
      <c r="M52" s="136">
        <f t="shared" si="12"/>
        <v>12.794279585477167</v>
      </c>
      <c r="N52" s="137">
        <f t="shared" si="23"/>
        <v>-3.8942795854771663</v>
      </c>
      <c r="O52" s="136">
        <f t="shared" si="13"/>
        <v>8.9</v>
      </c>
      <c r="P52" s="262">
        <v>-942</v>
      </c>
      <c r="Q52" s="261">
        <v>100</v>
      </c>
      <c r="R52" s="79">
        <f t="shared" si="4"/>
        <v>1.2278579256695937E-2</v>
      </c>
      <c r="S52" s="53">
        <f t="shared" si="14"/>
        <v>81.442647320508613</v>
      </c>
      <c r="T52" s="54">
        <f t="shared" si="15"/>
        <v>8.900000000000001E-2</v>
      </c>
      <c r="U52" s="53">
        <f t="shared" si="16"/>
        <v>11.235955056179774</v>
      </c>
      <c r="V52" s="51">
        <v>1.2</v>
      </c>
      <c r="W52" s="39"/>
      <c r="X52" s="44">
        <f t="shared" si="26"/>
        <v>10.1</v>
      </c>
      <c r="Y52" s="38">
        <v>9.6999999999999993</v>
      </c>
      <c r="Z52" s="18" t="s">
        <v>140</v>
      </c>
      <c r="AA52" s="38" t="str">
        <f t="shared" si="20"/>
        <v>Yes</v>
      </c>
      <c r="AB52" s="51"/>
      <c r="AC52" s="18" t="s">
        <v>88</v>
      </c>
      <c r="AD52" s="55">
        <f t="shared" si="18"/>
        <v>17</v>
      </c>
      <c r="AE52" s="39"/>
      <c r="AF52" s="18"/>
      <c r="AG52" s="18"/>
      <c r="AH52" s="18"/>
      <c r="AI52" s="18"/>
      <c r="AJ52" s="52">
        <v>-1.66</v>
      </c>
      <c r="AK52" s="18">
        <v>14</v>
      </c>
      <c r="AL52" s="18"/>
      <c r="AM52" s="18"/>
      <c r="AN52" s="18"/>
      <c r="AO52" s="18"/>
      <c r="AP52" s="18"/>
      <c r="AQ52" s="52">
        <v>15.8</v>
      </c>
      <c r="AR52" s="52">
        <v>16</v>
      </c>
      <c r="AS52" s="52" t="s">
        <v>32</v>
      </c>
      <c r="AT52" s="18"/>
      <c r="AU52" s="18"/>
      <c r="AV52" s="87"/>
      <c r="AW52" s="87"/>
      <c r="AX52" s="87"/>
      <c r="AY52" s="87"/>
      <c r="AZ52" s="87"/>
      <c r="BA52" s="87"/>
      <c r="BB52" s="160"/>
      <c r="BC52" s="258" t="s">
        <v>534</v>
      </c>
    </row>
    <row r="53" spans="1:55" x14ac:dyDescent="0.2">
      <c r="A53" s="17" t="s">
        <v>322</v>
      </c>
      <c r="B53" s="37"/>
      <c r="C53" s="17"/>
      <c r="D53" s="17"/>
      <c r="E53" s="18" t="s">
        <v>290</v>
      </c>
      <c r="F53" s="38">
        <v>9.1999999999999993</v>
      </c>
      <c r="G53" s="38" t="s">
        <v>364</v>
      </c>
      <c r="H53" s="17">
        <v>9.1</v>
      </c>
      <c r="I53" s="94">
        <f t="shared" ref="I53:I116" si="27">CONVERT(H53,"m","ft")</f>
        <v>29.855643044619423</v>
      </c>
      <c r="J53" s="94">
        <v>11.4</v>
      </c>
      <c r="K53" s="17">
        <f t="shared" si="10"/>
        <v>666.01760021597158</v>
      </c>
      <c r="L53" s="18">
        <f t="shared" si="11"/>
        <v>25.468238911718515</v>
      </c>
      <c r="M53" s="18">
        <f t="shared" si="12"/>
        <v>32.651588348357073</v>
      </c>
      <c r="N53" s="19">
        <f t="shared" si="23"/>
        <v>-23.451588348357074</v>
      </c>
      <c r="O53" s="83">
        <f t="shared" si="13"/>
        <v>9.1999999999999993</v>
      </c>
      <c r="P53" s="61" t="s">
        <v>384</v>
      </c>
      <c r="Q53" s="61">
        <v>1430</v>
      </c>
      <c r="R53" s="79">
        <f>1/175</f>
        <v>5.7142857142857143E-3</v>
      </c>
      <c r="S53" s="39">
        <f t="shared" si="14"/>
        <v>175</v>
      </c>
      <c r="T53" s="54">
        <f t="shared" si="15"/>
        <v>6.4335664335664327E-3</v>
      </c>
      <c r="U53" s="53">
        <f t="shared" si="16"/>
        <v>155.43478260869568</v>
      </c>
      <c r="V53" s="40">
        <v>3.2</v>
      </c>
      <c r="W53" s="82"/>
      <c r="X53" s="142">
        <f t="shared" si="26"/>
        <v>12.399999999999999</v>
      </c>
      <c r="Y53" s="16">
        <v>4.2699999999999996</v>
      </c>
      <c r="Z53" s="101" t="s">
        <v>92</v>
      </c>
      <c r="AA53" s="16" t="str">
        <f>IF(AD53&gt;AK53,"YES","NO")</f>
        <v>YES</v>
      </c>
      <c r="AB53" s="71" t="s">
        <v>93</v>
      </c>
      <c r="AC53" s="127" t="s">
        <v>507</v>
      </c>
      <c r="AD53" s="45">
        <f t="shared" ref="AD53:AD86" si="28">Y53+F53</f>
        <v>13.469999999999999</v>
      </c>
      <c r="AE53" s="45"/>
      <c r="AF53" s="16"/>
      <c r="AG53" s="40"/>
      <c r="AH53" s="42"/>
      <c r="AI53" s="42"/>
      <c r="AJ53" s="18">
        <v>0</v>
      </c>
      <c r="AK53" s="18">
        <v>4.59</v>
      </c>
      <c r="AL53" s="18">
        <v>5</v>
      </c>
      <c r="AM53" s="18">
        <v>104</v>
      </c>
      <c r="AN53" s="18"/>
      <c r="AO53" s="18"/>
      <c r="AP53" s="18"/>
      <c r="AQ53" s="83"/>
      <c r="AR53" s="83"/>
      <c r="AS53" s="83"/>
      <c r="AT53" s="44"/>
      <c r="AU53" s="44"/>
      <c r="AV53" s="129"/>
      <c r="AW53" s="129"/>
      <c r="AX53" s="190" t="s">
        <v>508</v>
      </c>
      <c r="AY53" s="186"/>
      <c r="AZ53" s="105" t="s">
        <v>471</v>
      </c>
      <c r="BA53" s="186"/>
      <c r="BB53" s="188"/>
    </row>
    <row r="54" spans="1:55" ht="38.25" x14ac:dyDescent="0.2">
      <c r="A54" s="75" t="s">
        <v>313</v>
      </c>
      <c r="B54" s="37"/>
      <c r="C54" s="17"/>
      <c r="D54" s="17"/>
      <c r="E54" s="18" t="s">
        <v>304</v>
      </c>
      <c r="F54" s="38">
        <v>9.1999999999999993</v>
      </c>
      <c r="G54" s="38" t="s">
        <v>364</v>
      </c>
      <c r="H54" s="17">
        <v>9.1</v>
      </c>
      <c r="I54" s="94">
        <f t="shared" si="27"/>
        <v>29.855643044619423</v>
      </c>
      <c r="J54" s="94">
        <v>11.4</v>
      </c>
      <c r="K54" s="17">
        <f t="shared" si="10"/>
        <v>666.01760021597158</v>
      </c>
      <c r="L54" s="18">
        <f t="shared" si="11"/>
        <v>25.468238911718515</v>
      </c>
      <c r="M54" s="18">
        <f t="shared" si="12"/>
        <v>32.651588348357073</v>
      </c>
      <c r="N54" s="19">
        <f t="shared" si="23"/>
        <v>-23.451588348357074</v>
      </c>
      <c r="O54" s="83">
        <f t="shared" si="13"/>
        <v>9.1999999999999993</v>
      </c>
      <c r="P54" s="67" t="s">
        <v>384</v>
      </c>
      <c r="Q54" s="67">
        <f>98/2</f>
        <v>49</v>
      </c>
      <c r="R54" s="79">
        <f>1/5</f>
        <v>0.2</v>
      </c>
      <c r="S54" s="39">
        <f t="shared" si="14"/>
        <v>5</v>
      </c>
      <c r="T54" s="54">
        <f t="shared" si="15"/>
        <v>0.1877551020408163</v>
      </c>
      <c r="U54" s="53">
        <f t="shared" si="16"/>
        <v>5.3260869565217401</v>
      </c>
      <c r="V54" s="40">
        <v>6.4</v>
      </c>
      <c r="W54" s="41">
        <v>7.9</v>
      </c>
      <c r="X54" s="142">
        <f t="shared" si="26"/>
        <v>17.100000000000001</v>
      </c>
      <c r="Y54" s="16">
        <v>26</v>
      </c>
      <c r="Z54" s="184" t="s">
        <v>527</v>
      </c>
      <c r="AA54" s="16" t="str">
        <f>IF(AD54&gt;AK54,"YES","NO")</f>
        <v>YES</v>
      </c>
      <c r="AB54" s="100" t="s">
        <v>93</v>
      </c>
      <c r="AC54" s="127" t="s">
        <v>507</v>
      </c>
      <c r="AD54" s="45">
        <f t="shared" si="28"/>
        <v>35.200000000000003</v>
      </c>
      <c r="AE54" s="45"/>
      <c r="AF54" s="16"/>
      <c r="AG54" s="40"/>
      <c r="AH54" s="42"/>
      <c r="AI54" s="42"/>
      <c r="AJ54" s="18">
        <f>9.2-11.2</f>
        <v>-2</v>
      </c>
      <c r="AK54" s="18">
        <v>20.9</v>
      </c>
      <c r="AL54" s="18">
        <v>0</v>
      </c>
      <c r="AM54" s="18">
        <v>98</v>
      </c>
      <c r="AN54" s="18"/>
      <c r="AO54" s="18"/>
      <c r="AP54" s="18"/>
      <c r="AR54" s="83"/>
      <c r="AS54" s="83"/>
      <c r="AT54" s="44"/>
      <c r="AU54" s="68"/>
      <c r="AV54" s="192"/>
      <c r="AW54" s="129"/>
      <c r="AX54" s="190" t="s">
        <v>508</v>
      </c>
      <c r="AY54" s="185" t="s">
        <v>529</v>
      </c>
      <c r="AZ54" s="87"/>
      <c r="BA54" s="186"/>
      <c r="BB54" s="188"/>
    </row>
    <row r="55" spans="1:55" x14ac:dyDescent="0.2">
      <c r="A55" s="133" t="s">
        <v>312</v>
      </c>
      <c r="B55" s="37"/>
      <c r="C55" s="17"/>
      <c r="D55" s="17"/>
      <c r="E55" s="52" t="s">
        <v>303</v>
      </c>
      <c r="F55" s="46">
        <v>9.1999999999999993</v>
      </c>
      <c r="G55" s="38" t="s">
        <v>364</v>
      </c>
      <c r="H55" s="17">
        <v>9.1</v>
      </c>
      <c r="I55" s="94">
        <f t="shared" si="27"/>
        <v>29.855643044619423</v>
      </c>
      <c r="J55" s="94">
        <v>11.4</v>
      </c>
      <c r="K55" s="17">
        <f t="shared" si="10"/>
        <v>666.01760021597158</v>
      </c>
      <c r="L55" s="18">
        <f t="shared" si="11"/>
        <v>25.468238911718515</v>
      </c>
      <c r="M55" s="18">
        <f t="shared" si="12"/>
        <v>32.651588348357073</v>
      </c>
      <c r="N55" s="19">
        <f t="shared" si="23"/>
        <v>-23.451588348357074</v>
      </c>
      <c r="O55" s="83">
        <f t="shared" si="13"/>
        <v>9.1999999999999993</v>
      </c>
      <c r="P55" s="67" t="s">
        <v>384</v>
      </c>
      <c r="Q55" s="67">
        <v>39</v>
      </c>
      <c r="R55" s="80">
        <f>1/5</f>
        <v>0.2</v>
      </c>
      <c r="S55" s="39">
        <f t="shared" si="14"/>
        <v>5</v>
      </c>
      <c r="T55" s="54">
        <f t="shared" si="15"/>
        <v>0.23589743589743589</v>
      </c>
      <c r="U55" s="53">
        <f t="shared" si="16"/>
        <v>4.2391304347826084</v>
      </c>
      <c r="V55" s="40">
        <v>6.4</v>
      </c>
      <c r="W55" s="41">
        <v>7.4</v>
      </c>
      <c r="X55" s="142">
        <f t="shared" si="26"/>
        <v>16.600000000000001</v>
      </c>
      <c r="Y55" s="16">
        <v>4.82</v>
      </c>
      <c r="Z55" s="106" t="s">
        <v>438</v>
      </c>
      <c r="AA55" s="16" t="str">
        <f>IF(AD55&gt;AK55,"YES","NO")</f>
        <v>NO</v>
      </c>
      <c r="AB55" s="71" t="s">
        <v>94</v>
      </c>
      <c r="AC55" s="103" t="s">
        <v>114</v>
      </c>
      <c r="AD55" s="45">
        <f t="shared" si="28"/>
        <v>14.02</v>
      </c>
      <c r="AE55" s="45"/>
      <c r="AF55" s="76">
        <v>7.4</v>
      </c>
      <c r="AG55" s="40">
        <v>3.6</v>
      </c>
      <c r="AH55" s="69" t="s">
        <v>80</v>
      </c>
      <c r="AI55" s="69" t="s">
        <v>93</v>
      </c>
      <c r="AJ55" s="52">
        <v>5.72</v>
      </c>
      <c r="AK55" s="52">
        <v>16.61</v>
      </c>
      <c r="AL55" s="18">
        <v>42</v>
      </c>
      <c r="AM55" s="18">
        <v>55.153487210596509</v>
      </c>
      <c r="AN55" s="52">
        <v>64.099999999999994</v>
      </c>
      <c r="AO55" s="52">
        <v>16.72</v>
      </c>
      <c r="AP55" s="52"/>
      <c r="AQ55" s="83"/>
      <c r="AR55" s="83"/>
      <c r="AS55" s="83"/>
      <c r="AT55" s="44"/>
      <c r="AU55" s="68"/>
      <c r="AV55" s="129"/>
      <c r="AW55" s="160"/>
      <c r="AX55" s="190" t="s">
        <v>508</v>
      </c>
      <c r="AY55" s="104" t="s">
        <v>455</v>
      </c>
      <c r="AZ55" s="160"/>
      <c r="BA55" s="129"/>
      <c r="BB55" s="191"/>
    </row>
    <row r="56" spans="1:55" x14ac:dyDescent="0.2">
      <c r="A56" s="17" t="s">
        <v>311</v>
      </c>
      <c r="B56" s="37"/>
      <c r="C56" s="17"/>
      <c r="D56" s="17"/>
      <c r="E56" s="18" t="s">
        <v>302</v>
      </c>
      <c r="F56" s="38">
        <v>9.1999999999999993</v>
      </c>
      <c r="G56" s="38" t="s">
        <v>364</v>
      </c>
      <c r="H56" s="17">
        <v>9.1</v>
      </c>
      <c r="I56" s="94">
        <f t="shared" si="27"/>
        <v>29.855643044619423</v>
      </c>
      <c r="J56" s="94">
        <v>11.4</v>
      </c>
      <c r="K56" s="17">
        <f t="shared" si="10"/>
        <v>666.01760021597158</v>
      </c>
      <c r="L56" s="18">
        <f t="shared" si="11"/>
        <v>25.468238911718515</v>
      </c>
      <c r="M56" s="18">
        <f t="shared" si="12"/>
        <v>32.651588348357073</v>
      </c>
      <c r="N56" s="19">
        <f t="shared" si="23"/>
        <v>-23.451588348357074</v>
      </c>
      <c r="O56" s="83">
        <f t="shared" si="13"/>
        <v>9.1999999999999993</v>
      </c>
      <c r="P56" s="67" t="s">
        <v>384</v>
      </c>
      <c r="Q56" s="67">
        <v>19</v>
      </c>
      <c r="R56" s="79">
        <f>1/2</f>
        <v>0.5</v>
      </c>
      <c r="S56" s="39">
        <f t="shared" si="14"/>
        <v>2</v>
      </c>
      <c r="T56" s="54">
        <f t="shared" si="15"/>
        <v>0.48421052631578942</v>
      </c>
      <c r="U56" s="53">
        <f t="shared" si="16"/>
        <v>2.0652173913043481</v>
      </c>
      <c r="V56" s="40">
        <v>7.7</v>
      </c>
      <c r="W56" s="41">
        <v>8.5</v>
      </c>
      <c r="X56" s="142">
        <f t="shared" si="26"/>
        <v>17.7</v>
      </c>
      <c r="Y56" s="16">
        <v>22.1</v>
      </c>
      <c r="Z56" s="69" t="s">
        <v>80</v>
      </c>
      <c r="AA56" s="70" t="s">
        <v>94</v>
      </c>
      <c r="AB56" s="71" t="s">
        <v>93</v>
      </c>
      <c r="AC56" s="127" t="s">
        <v>507</v>
      </c>
      <c r="AD56" s="45">
        <f t="shared" si="28"/>
        <v>31.3</v>
      </c>
      <c r="AE56" s="45"/>
      <c r="AF56" s="16"/>
      <c r="AG56" s="40"/>
      <c r="AH56" s="42"/>
      <c r="AI56" s="42"/>
      <c r="AJ56" s="18">
        <f>9.2-8.5</f>
        <v>0.69999999999999929</v>
      </c>
      <c r="AK56" s="18">
        <v>14.4</v>
      </c>
      <c r="AL56" s="18">
        <v>1</v>
      </c>
      <c r="AM56" s="159">
        <v>42</v>
      </c>
      <c r="AN56" s="18"/>
      <c r="AO56" s="18"/>
      <c r="AP56" s="18"/>
      <c r="AQ56" s="83"/>
      <c r="AR56" s="83"/>
      <c r="AS56" s="83"/>
      <c r="AT56" s="44"/>
      <c r="AU56" s="73"/>
      <c r="AV56" s="129"/>
      <c r="AW56" s="129"/>
      <c r="AX56" s="190" t="s">
        <v>508</v>
      </c>
      <c r="AY56" s="186"/>
      <c r="AZ56" s="87"/>
      <c r="BA56" s="186"/>
      <c r="BB56" s="188"/>
    </row>
    <row r="57" spans="1:55" x14ac:dyDescent="0.2">
      <c r="A57" s="17" t="s">
        <v>309</v>
      </c>
      <c r="B57" s="37"/>
      <c r="C57" s="17"/>
      <c r="D57" s="17"/>
      <c r="E57" s="38" t="s">
        <v>300</v>
      </c>
      <c r="F57" s="38">
        <v>9.1999999999999993</v>
      </c>
      <c r="G57" s="38" t="s">
        <v>364</v>
      </c>
      <c r="H57" s="17">
        <v>2.2999999999999998</v>
      </c>
      <c r="I57" s="94">
        <f t="shared" si="27"/>
        <v>7.5459317585301839</v>
      </c>
      <c r="J57" s="94">
        <v>10</v>
      </c>
      <c r="K57" s="17">
        <f t="shared" si="10"/>
        <v>512.47891675590313</v>
      </c>
      <c r="L57" s="18">
        <f t="shared" si="11"/>
        <v>9.3293913255037797</v>
      </c>
      <c r="M57" s="18">
        <f t="shared" si="12"/>
        <v>11.96075810962023</v>
      </c>
      <c r="N57" s="19">
        <f t="shared" si="23"/>
        <v>-2.7607581096202303</v>
      </c>
      <c r="O57" s="83">
        <f t="shared" si="13"/>
        <v>9.1999999999999993</v>
      </c>
      <c r="P57" s="67" t="s">
        <v>384</v>
      </c>
      <c r="Q57" s="67">
        <v>100</v>
      </c>
      <c r="R57" s="79">
        <f>1/11</f>
        <v>9.0909090909090912E-2</v>
      </c>
      <c r="S57" s="39">
        <f t="shared" si="14"/>
        <v>11</v>
      </c>
      <c r="T57" s="54">
        <f t="shared" si="15"/>
        <v>9.1999999999999998E-2</v>
      </c>
      <c r="U57" s="53">
        <f t="shared" si="16"/>
        <v>10.869565217391305</v>
      </c>
      <c r="V57" s="40">
        <v>1.7</v>
      </c>
      <c r="W57" s="41"/>
      <c r="X57" s="142">
        <f t="shared" si="26"/>
        <v>10.899999999999999</v>
      </c>
      <c r="Y57" s="107">
        <v>11.4675627273689</v>
      </c>
      <c r="Z57" s="102" t="s">
        <v>456</v>
      </c>
      <c r="AA57" s="16" t="str">
        <f t="shared" ref="AA57:AA81" si="29">IF(AD57&gt;AK57,"YES","NO")</f>
        <v>YES</v>
      </c>
      <c r="AB57" s="100" t="s">
        <v>93</v>
      </c>
      <c r="AC57" s="127" t="s">
        <v>507</v>
      </c>
      <c r="AD57" s="45">
        <f t="shared" si="28"/>
        <v>20.6675627273689</v>
      </c>
      <c r="AE57" s="45"/>
      <c r="AF57" s="16"/>
      <c r="AG57" s="40"/>
      <c r="AH57" s="42"/>
      <c r="AI57" s="42"/>
      <c r="AJ57" s="18">
        <v>1.7</v>
      </c>
      <c r="AK57" s="18">
        <v>14.9</v>
      </c>
      <c r="AL57" s="18">
        <v>60</v>
      </c>
      <c r="AM57" s="18">
        <v>118</v>
      </c>
      <c r="AN57" s="18"/>
      <c r="AO57" s="18"/>
      <c r="AP57" s="18"/>
      <c r="AQ57" s="83"/>
      <c r="AR57" s="83"/>
      <c r="AS57" s="83"/>
      <c r="AT57" s="44"/>
      <c r="AU57" s="73"/>
      <c r="AV57" s="129"/>
      <c r="AW57" s="129"/>
      <c r="AX57" s="190" t="s">
        <v>508</v>
      </c>
      <c r="AY57" s="186"/>
      <c r="AZ57" s="87"/>
      <c r="BA57" s="186"/>
      <c r="BB57" s="188"/>
    </row>
    <row r="58" spans="1:55" x14ac:dyDescent="0.2">
      <c r="A58" s="17" t="s">
        <v>310</v>
      </c>
      <c r="B58" s="37"/>
      <c r="C58" s="17"/>
      <c r="D58" s="17"/>
      <c r="E58" s="18" t="s">
        <v>301</v>
      </c>
      <c r="F58" s="38">
        <v>9.1999999999999993</v>
      </c>
      <c r="G58" s="38" t="s">
        <v>364</v>
      </c>
      <c r="H58" s="17">
        <v>0.5</v>
      </c>
      <c r="I58" s="94">
        <f t="shared" si="27"/>
        <v>1.6404199475065617</v>
      </c>
      <c r="J58" s="94">
        <v>7.9</v>
      </c>
      <c r="K58" s="17">
        <f t="shared" si="10"/>
        <v>319.83809194735909</v>
      </c>
      <c r="L58" s="18">
        <f t="shared" si="11"/>
        <v>2.882478986080705</v>
      </c>
      <c r="M58" s="18">
        <f t="shared" si="12"/>
        <v>3.6954858795906471</v>
      </c>
      <c r="N58" s="19">
        <f t="shared" si="23"/>
        <v>5.5045141204093522</v>
      </c>
      <c r="O58" s="83">
        <f t="shared" si="13"/>
        <v>9.1999999999999993</v>
      </c>
      <c r="P58" s="74" t="s">
        <v>384</v>
      </c>
      <c r="Q58" s="74">
        <v>97</v>
      </c>
      <c r="R58" s="79">
        <f>1/12</f>
        <v>8.3333333333333329E-2</v>
      </c>
      <c r="S58" s="39">
        <f t="shared" si="14"/>
        <v>12</v>
      </c>
      <c r="T58" s="54">
        <f t="shared" si="15"/>
        <v>9.4845360824742264E-2</v>
      </c>
      <c r="U58" s="53">
        <f t="shared" si="16"/>
        <v>10.543478260869566</v>
      </c>
      <c r="V58" s="40">
        <v>0.7</v>
      </c>
      <c r="W58" s="41"/>
      <c r="X58" s="142">
        <f t="shared" si="26"/>
        <v>9.8999999999999986</v>
      </c>
      <c r="Y58" s="16">
        <v>9.7799999999999994</v>
      </c>
      <c r="Z58" s="184" t="s">
        <v>528</v>
      </c>
      <c r="AA58" s="16" t="str">
        <f t="shared" si="29"/>
        <v>YES</v>
      </c>
      <c r="AB58" s="100" t="s">
        <v>93</v>
      </c>
      <c r="AC58" s="127" t="s">
        <v>507</v>
      </c>
      <c r="AD58" s="45">
        <f t="shared" si="28"/>
        <v>18.979999999999997</v>
      </c>
      <c r="AE58" s="45"/>
      <c r="AF58" s="16"/>
      <c r="AG58" s="40"/>
      <c r="AH58" s="42"/>
      <c r="AI58" s="42"/>
      <c r="AJ58" s="18">
        <v>2.72</v>
      </c>
      <c r="AK58" s="18">
        <v>17.100000000000001</v>
      </c>
      <c r="AL58" s="18">
        <v>5</v>
      </c>
      <c r="AM58" s="18">
        <v>141</v>
      </c>
      <c r="AN58" s="18"/>
      <c r="AO58" s="18"/>
      <c r="AP58" s="18"/>
      <c r="AQ58" s="83"/>
      <c r="AR58" s="83"/>
      <c r="AS58" s="83"/>
      <c r="AT58" s="44"/>
      <c r="AU58" s="73"/>
      <c r="AV58" s="129"/>
      <c r="AW58" s="129"/>
      <c r="AX58" s="190" t="s">
        <v>508</v>
      </c>
      <c r="AY58" s="186"/>
      <c r="AZ58" s="87"/>
      <c r="BA58" s="186"/>
      <c r="BB58" s="188"/>
    </row>
    <row r="59" spans="1:55" ht="38.25" x14ac:dyDescent="0.2">
      <c r="A59" s="17" t="s">
        <v>308</v>
      </c>
      <c r="B59" s="37"/>
      <c r="C59" s="17"/>
      <c r="D59" s="17"/>
      <c r="E59" s="18" t="s">
        <v>299</v>
      </c>
      <c r="F59" s="38">
        <v>9.1999999999999993</v>
      </c>
      <c r="G59" s="38" t="s">
        <v>364</v>
      </c>
      <c r="H59" s="17">
        <v>2.2999999999999998</v>
      </c>
      <c r="I59" s="94">
        <f t="shared" si="27"/>
        <v>7.5459317585301839</v>
      </c>
      <c r="J59" s="94">
        <v>10</v>
      </c>
      <c r="K59" s="17">
        <f t="shared" si="10"/>
        <v>512.47891675590313</v>
      </c>
      <c r="L59" s="18">
        <f t="shared" si="11"/>
        <v>9.3293913255037797</v>
      </c>
      <c r="M59" s="18">
        <f t="shared" si="12"/>
        <v>11.96075810962023</v>
      </c>
      <c r="N59" s="19">
        <f t="shared" si="23"/>
        <v>-2.7607581096202303</v>
      </c>
      <c r="O59" s="83">
        <f t="shared" si="13"/>
        <v>9.1999999999999993</v>
      </c>
      <c r="P59" s="67" t="s">
        <v>384</v>
      </c>
      <c r="Q59" s="74">
        <v>58</v>
      </c>
      <c r="R59" s="79">
        <f>1/6</f>
        <v>0.16666666666666666</v>
      </c>
      <c r="S59" s="39">
        <f t="shared" si="14"/>
        <v>6</v>
      </c>
      <c r="T59" s="54">
        <f t="shared" si="15"/>
        <v>0.1586206896551724</v>
      </c>
      <c r="U59" s="53">
        <f t="shared" si="16"/>
        <v>6.304347826086957</v>
      </c>
      <c r="V59" s="40">
        <v>1.95</v>
      </c>
      <c r="W59" s="41">
        <v>2.4</v>
      </c>
      <c r="X59" s="142">
        <f t="shared" si="26"/>
        <v>11.6</v>
      </c>
      <c r="Y59" s="16">
        <v>10.5</v>
      </c>
      <c r="Z59" s="184" t="s">
        <v>527</v>
      </c>
      <c r="AA59" s="16" t="str">
        <f t="shared" si="29"/>
        <v>YES</v>
      </c>
      <c r="AB59" s="100" t="s">
        <v>93</v>
      </c>
      <c r="AC59" s="127" t="s">
        <v>507</v>
      </c>
      <c r="AD59" s="45">
        <f t="shared" si="28"/>
        <v>19.7</v>
      </c>
      <c r="AE59" s="45"/>
      <c r="AF59" s="16"/>
      <c r="AG59" s="40"/>
      <c r="AH59" s="42"/>
      <c r="AI59" s="42"/>
      <c r="AJ59" s="18">
        <f>9.2-4.35</f>
        <v>4.8499999999999996</v>
      </c>
      <c r="AK59" s="18">
        <v>19.5</v>
      </c>
      <c r="AL59" s="18">
        <v>20</v>
      </c>
      <c r="AM59" s="18">
        <v>124</v>
      </c>
      <c r="AN59" s="18"/>
      <c r="AO59" s="18"/>
      <c r="AP59" s="18"/>
      <c r="AQ59" s="83"/>
      <c r="AR59" s="83"/>
      <c r="AS59" s="83"/>
      <c r="AT59" s="44"/>
      <c r="AU59" s="73"/>
      <c r="AV59" s="129"/>
      <c r="AW59" s="129"/>
      <c r="AX59" s="190" t="s">
        <v>508</v>
      </c>
      <c r="AY59" s="185" t="s">
        <v>529</v>
      </c>
      <c r="AZ59" s="105" t="s">
        <v>476</v>
      </c>
      <c r="BA59" s="186"/>
      <c r="BB59" s="188"/>
    </row>
    <row r="60" spans="1:55" x14ac:dyDescent="0.2">
      <c r="A60" s="17" t="s">
        <v>307</v>
      </c>
      <c r="B60" s="37"/>
      <c r="C60" s="17"/>
      <c r="D60" s="17"/>
      <c r="E60" s="18" t="s">
        <v>298</v>
      </c>
      <c r="F60" s="38">
        <v>9.1999999999999993</v>
      </c>
      <c r="G60" s="38" t="s">
        <v>364</v>
      </c>
      <c r="H60" s="17">
        <v>0.5</v>
      </c>
      <c r="I60" s="94">
        <f t="shared" si="27"/>
        <v>1.6404199475065617</v>
      </c>
      <c r="J60" s="94">
        <v>7.7</v>
      </c>
      <c r="K60" s="17">
        <f t="shared" si="10"/>
        <v>303.84874974457495</v>
      </c>
      <c r="L60" s="18">
        <f t="shared" si="11"/>
        <v>2.8336219354765833</v>
      </c>
      <c r="M60" s="18">
        <f t="shared" si="12"/>
        <v>3.6328486352263885</v>
      </c>
      <c r="N60" s="19">
        <f t="shared" si="23"/>
        <v>5.5671513647736113</v>
      </c>
      <c r="O60" s="83">
        <f t="shared" si="13"/>
        <v>9.1999999999999993</v>
      </c>
      <c r="P60" s="74" t="s">
        <v>384</v>
      </c>
      <c r="Q60" s="74">
        <v>50</v>
      </c>
      <c r="R60" s="79">
        <f>1/9</f>
        <v>0.1111111111111111</v>
      </c>
      <c r="S60" s="39">
        <f t="shared" si="14"/>
        <v>9</v>
      </c>
      <c r="T60" s="54">
        <f t="shared" si="15"/>
        <v>0.184</v>
      </c>
      <c r="U60" s="53">
        <f t="shared" si="16"/>
        <v>5.4347826086956523</v>
      </c>
      <c r="V60" s="40">
        <v>0.5</v>
      </c>
      <c r="W60" s="41"/>
      <c r="X60" s="142">
        <f t="shared" si="26"/>
        <v>9.6999999999999993</v>
      </c>
      <c r="Y60" s="16">
        <v>4.7</v>
      </c>
      <c r="Z60" s="69" t="s">
        <v>80</v>
      </c>
      <c r="AA60" s="107" t="str">
        <f t="shared" si="29"/>
        <v>YES</v>
      </c>
      <c r="AB60" s="71" t="s">
        <v>94</v>
      </c>
      <c r="AC60" s="103" t="s">
        <v>114</v>
      </c>
      <c r="AD60" s="45">
        <f t="shared" si="28"/>
        <v>13.899999999999999</v>
      </c>
      <c r="AE60" s="45"/>
      <c r="AF60" s="16"/>
      <c r="AG60" s="40">
        <v>1.9</v>
      </c>
      <c r="AH60" s="69" t="s">
        <v>80</v>
      </c>
      <c r="AI60" s="69" t="s">
        <v>94</v>
      </c>
      <c r="AJ60" s="18">
        <f>9.2-8.12</f>
        <v>1.08</v>
      </c>
      <c r="AK60" s="18">
        <v>5.47</v>
      </c>
      <c r="AL60" s="18">
        <v>2.3584575468010334</v>
      </c>
      <c r="AM60" s="18">
        <v>35.5</v>
      </c>
      <c r="AN60" s="18">
        <v>18.899999999999999</v>
      </c>
      <c r="AO60" s="18">
        <v>5.200400000000001</v>
      </c>
      <c r="AP60" s="18"/>
      <c r="AQ60" s="83"/>
      <c r="AR60" s="83"/>
      <c r="AS60" s="83"/>
      <c r="AT60" s="44"/>
      <c r="AU60" s="104" t="s">
        <v>454</v>
      </c>
      <c r="AV60" s="129"/>
      <c r="AW60" s="129"/>
      <c r="AX60" s="190" t="s">
        <v>508</v>
      </c>
      <c r="AY60" s="186"/>
      <c r="AZ60" s="87"/>
      <c r="BA60" s="186"/>
      <c r="BB60" s="188"/>
    </row>
    <row r="61" spans="1:55" ht="38.25" x14ac:dyDescent="0.2">
      <c r="A61" s="17" t="s">
        <v>367</v>
      </c>
      <c r="B61" s="37"/>
      <c r="C61" s="17"/>
      <c r="D61" s="17"/>
      <c r="E61" s="18" t="s">
        <v>284</v>
      </c>
      <c r="F61" s="38">
        <v>9.1999999999999993</v>
      </c>
      <c r="G61" s="38" t="s">
        <v>364</v>
      </c>
      <c r="H61" s="17">
        <v>9.1</v>
      </c>
      <c r="I61" s="94">
        <f t="shared" si="27"/>
        <v>29.855643044619423</v>
      </c>
      <c r="J61" s="94">
        <v>11.4</v>
      </c>
      <c r="K61" s="17">
        <f t="shared" si="10"/>
        <v>666.01760021597158</v>
      </c>
      <c r="L61" s="18">
        <f t="shared" si="11"/>
        <v>25.468238911718515</v>
      </c>
      <c r="M61" s="18">
        <f t="shared" si="12"/>
        <v>32.651588348357073</v>
      </c>
      <c r="N61" s="19">
        <f t="shared" si="23"/>
        <v>-23.451588348357074</v>
      </c>
      <c r="O61" s="83">
        <f t="shared" si="13"/>
        <v>9.1999999999999993</v>
      </c>
      <c r="P61" s="61" t="s">
        <v>384</v>
      </c>
      <c r="Q61" s="61">
        <v>50</v>
      </c>
      <c r="R61" s="81">
        <f>1/8</f>
        <v>0.125</v>
      </c>
      <c r="S61" s="39">
        <f t="shared" si="14"/>
        <v>8</v>
      </c>
      <c r="T61" s="54">
        <f t="shared" si="15"/>
        <v>0.184</v>
      </c>
      <c r="U61" s="53">
        <f t="shared" si="16"/>
        <v>5.4347826086956523</v>
      </c>
      <c r="V61" s="40">
        <v>5.9</v>
      </c>
      <c r="W61" s="41">
        <v>6.9</v>
      </c>
      <c r="X61" s="142">
        <f t="shared" si="26"/>
        <v>16.100000000000001</v>
      </c>
      <c r="Y61" s="16">
        <v>13.7</v>
      </c>
      <c r="Z61" s="184" t="s">
        <v>527</v>
      </c>
      <c r="AA61" s="16" t="str">
        <f t="shared" si="29"/>
        <v>YES</v>
      </c>
      <c r="AB61" s="100" t="s">
        <v>93</v>
      </c>
      <c r="AC61" s="127" t="s">
        <v>507</v>
      </c>
      <c r="AD61" s="45">
        <f t="shared" si="28"/>
        <v>22.9</v>
      </c>
      <c r="AE61" s="45"/>
      <c r="AF61" s="16"/>
      <c r="AG61" s="40"/>
      <c r="AH61" s="42"/>
      <c r="AI61" s="42"/>
      <c r="AJ61" s="18">
        <f>9.2-5.39</f>
        <v>3.8099999999999996</v>
      </c>
      <c r="AK61" s="18">
        <v>19.8</v>
      </c>
      <c r="AL61" s="18">
        <v>0</v>
      </c>
      <c r="AM61" s="18">
        <v>115</v>
      </c>
      <c r="AN61" s="18"/>
      <c r="AO61" s="18"/>
      <c r="AP61" s="18"/>
      <c r="AQ61" s="83"/>
      <c r="AR61" s="83"/>
      <c r="AS61" s="83"/>
      <c r="AT61" s="44"/>
      <c r="AU61" s="44"/>
      <c r="AV61" s="129"/>
      <c r="AW61" s="129"/>
      <c r="AX61" s="190" t="s">
        <v>508</v>
      </c>
      <c r="AY61" s="185" t="s">
        <v>529</v>
      </c>
      <c r="AZ61" s="87"/>
      <c r="BA61" s="186"/>
      <c r="BB61" s="188"/>
    </row>
    <row r="62" spans="1:55" x14ac:dyDescent="0.2">
      <c r="A62" s="17" t="s">
        <v>321</v>
      </c>
      <c r="B62" s="37"/>
      <c r="C62" s="17"/>
      <c r="D62" s="17"/>
      <c r="E62" s="38" t="s">
        <v>289</v>
      </c>
      <c r="F62" s="38">
        <v>9.1999999999999993</v>
      </c>
      <c r="G62" s="38" t="s">
        <v>364</v>
      </c>
      <c r="H62" s="17">
        <v>9.1</v>
      </c>
      <c r="I62" s="94">
        <f t="shared" si="27"/>
        <v>29.855643044619423</v>
      </c>
      <c r="J62" s="94">
        <v>11.4</v>
      </c>
      <c r="K62" s="17">
        <f t="shared" si="10"/>
        <v>666.01760021597158</v>
      </c>
      <c r="L62" s="18">
        <f t="shared" si="11"/>
        <v>25.468238911718515</v>
      </c>
      <c r="M62" s="18">
        <f t="shared" si="12"/>
        <v>32.651588348357073</v>
      </c>
      <c r="N62" s="19">
        <f t="shared" si="23"/>
        <v>-23.451588348357074</v>
      </c>
      <c r="O62" s="83">
        <f t="shared" si="13"/>
        <v>9.1999999999999993</v>
      </c>
      <c r="P62" s="61" t="s">
        <v>384</v>
      </c>
      <c r="Q62" s="61">
        <v>58</v>
      </c>
      <c r="R62" s="79">
        <f>1/45</f>
        <v>2.2222222222222223E-2</v>
      </c>
      <c r="S62" s="39">
        <f t="shared" si="14"/>
        <v>45</v>
      </c>
      <c r="T62" s="54">
        <f t="shared" si="15"/>
        <v>0.1586206896551724</v>
      </c>
      <c r="U62" s="53">
        <f t="shared" si="16"/>
        <v>6.304347826086957</v>
      </c>
      <c r="V62" s="40">
        <v>4.2</v>
      </c>
      <c r="W62" s="41"/>
      <c r="X62" s="142">
        <f t="shared" si="26"/>
        <v>13.399999999999999</v>
      </c>
      <c r="Y62" s="16">
        <v>13.3</v>
      </c>
      <c r="Z62" s="218" t="s">
        <v>80</v>
      </c>
      <c r="AA62" s="16" t="str">
        <f t="shared" si="29"/>
        <v>NO</v>
      </c>
      <c r="AB62" s="100" t="s">
        <v>93</v>
      </c>
      <c r="AC62" s="127" t="s">
        <v>507</v>
      </c>
      <c r="AD62" s="45">
        <f t="shared" si="28"/>
        <v>22.5</v>
      </c>
      <c r="AE62" s="45"/>
      <c r="AF62" s="16"/>
      <c r="AG62" s="40"/>
      <c r="AH62" s="42"/>
      <c r="AI62" s="42"/>
      <c r="AJ62" s="18">
        <f>9.2-6.05</f>
        <v>3.1499999999999995</v>
      </c>
      <c r="AK62" s="18">
        <v>31.8</v>
      </c>
      <c r="AL62" s="18">
        <v>33</v>
      </c>
      <c r="AM62" s="18">
        <v>227</v>
      </c>
      <c r="AN62" s="18"/>
      <c r="AO62" s="18"/>
      <c r="AP62" s="18"/>
      <c r="AQ62" s="83"/>
      <c r="AR62" s="83"/>
      <c r="AS62" s="83"/>
      <c r="AT62" s="44"/>
      <c r="AU62" s="44"/>
      <c r="AV62" s="129"/>
      <c r="AW62" s="129"/>
      <c r="AX62" s="190" t="s">
        <v>508</v>
      </c>
      <c r="AY62" s="105" t="s">
        <v>455</v>
      </c>
      <c r="AZ62" s="87"/>
      <c r="BA62" s="186"/>
      <c r="BB62" s="188"/>
    </row>
    <row r="63" spans="1:55" x14ac:dyDescent="0.2">
      <c r="A63" s="17" t="s">
        <v>320</v>
      </c>
      <c r="B63" s="37"/>
      <c r="C63" s="17"/>
      <c r="D63" s="17"/>
      <c r="E63" s="18" t="s">
        <v>288</v>
      </c>
      <c r="F63" s="38">
        <v>9.1999999999999993</v>
      </c>
      <c r="G63" s="38" t="s">
        <v>364</v>
      </c>
      <c r="H63" s="17">
        <v>9.1</v>
      </c>
      <c r="I63" s="94">
        <f t="shared" si="27"/>
        <v>29.855643044619423</v>
      </c>
      <c r="J63" s="94">
        <v>11.4</v>
      </c>
      <c r="K63" s="17">
        <f t="shared" si="10"/>
        <v>666.01760021597158</v>
      </c>
      <c r="L63" s="18">
        <f t="shared" si="11"/>
        <v>25.468238911718515</v>
      </c>
      <c r="M63" s="18">
        <f t="shared" si="12"/>
        <v>32.651588348357073</v>
      </c>
      <c r="N63" s="19">
        <f t="shared" si="23"/>
        <v>-23.451588348357074</v>
      </c>
      <c r="O63" s="83">
        <f t="shared" si="13"/>
        <v>9.1999999999999993</v>
      </c>
      <c r="P63" s="61" t="s">
        <v>384</v>
      </c>
      <c r="Q63" s="61">
        <v>56</v>
      </c>
      <c r="R63" s="79">
        <f>1/44</f>
        <v>2.2727272727272728E-2</v>
      </c>
      <c r="S63" s="39">
        <f t="shared" si="14"/>
        <v>44</v>
      </c>
      <c r="T63" s="54">
        <f t="shared" si="15"/>
        <v>0.16428571428571428</v>
      </c>
      <c r="U63" s="53">
        <f t="shared" si="16"/>
        <v>6.0869565217391308</v>
      </c>
      <c r="V63" s="40">
        <v>4.2</v>
      </c>
      <c r="W63" s="41"/>
      <c r="X63" s="142">
        <f t="shared" si="26"/>
        <v>13.399999999999999</v>
      </c>
      <c r="Y63" s="16">
        <v>17</v>
      </c>
      <c r="Z63" s="69" t="s">
        <v>80</v>
      </c>
      <c r="AA63" s="107" t="str">
        <f t="shared" si="29"/>
        <v>YES</v>
      </c>
      <c r="AB63" s="71" t="s">
        <v>93</v>
      </c>
      <c r="AC63" s="127" t="s">
        <v>507</v>
      </c>
      <c r="AD63" s="45">
        <f t="shared" si="28"/>
        <v>26.2</v>
      </c>
      <c r="AE63" s="45"/>
      <c r="AF63" s="16"/>
      <c r="AG63" s="40"/>
      <c r="AH63" s="42"/>
      <c r="AI63" s="42"/>
      <c r="AJ63" s="18">
        <f>9.2-9.83</f>
        <v>-0.63000000000000078</v>
      </c>
      <c r="AK63" s="18">
        <v>15.7</v>
      </c>
      <c r="AL63" s="18">
        <v>-6</v>
      </c>
      <c r="AM63" s="18">
        <v>94</v>
      </c>
      <c r="AN63" s="18"/>
      <c r="AO63" s="18"/>
      <c r="AP63" s="18"/>
      <c r="AQ63" s="83"/>
      <c r="AR63" s="83"/>
      <c r="AS63" s="83"/>
      <c r="AT63" s="44"/>
      <c r="AU63" s="44"/>
      <c r="AV63" s="129"/>
      <c r="AW63" s="129"/>
      <c r="AX63" s="190" t="s">
        <v>508</v>
      </c>
      <c r="AY63" s="186"/>
      <c r="AZ63" s="105" t="s">
        <v>471</v>
      </c>
      <c r="BA63" s="186"/>
      <c r="BB63" s="188"/>
    </row>
    <row r="64" spans="1:55" ht="25.5" customHeight="1" x14ac:dyDescent="0.2">
      <c r="A64" s="17" t="s">
        <v>318</v>
      </c>
      <c r="B64" s="37"/>
      <c r="C64" s="17"/>
      <c r="D64" s="17"/>
      <c r="E64" s="18" t="s">
        <v>287</v>
      </c>
      <c r="F64" s="38">
        <v>9.1999999999999993</v>
      </c>
      <c r="G64" s="38" t="s">
        <v>364</v>
      </c>
      <c r="H64" s="17">
        <v>9.1</v>
      </c>
      <c r="I64" s="94">
        <f t="shared" si="27"/>
        <v>29.855643044619423</v>
      </c>
      <c r="J64" s="94">
        <v>11.4</v>
      </c>
      <c r="K64" s="17">
        <f t="shared" si="10"/>
        <v>666.01760021597158</v>
      </c>
      <c r="L64" s="18">
        <f t="shared" si="11"/>
        <v>25.468238911718515</v>
      </c>
      <c r="M64" s="18">
        <f t="shared" si="12"/>
        <v>32.651588348357073</v>
      </c>
      <c r="N64" s="19">
        <f t="shared" si="23"/>
        <v>-23.451588348357074</v>
      </c>
      <c r="O64" s="83">
        <f t="shared" si="13"/>
        <v>9.1999999999999993</v>
      </c>
      <c r="P64" s="61" t="s">
        <v>384</v>
      </c>
      <c r="Q64" s="61">
        <v>127</v>
      </c>
      <c r="R64" s="79">
        <f>1/35</f>
        <v>2.8571428571428571E-2</v>
      </c>
      <c r="S64" s="39">
        <f t="shared" si="14"/>
        <v>35</v>
      </c>
      <c r="T64" s="54">
        <f t="shared" si="15"/>
        <v>7.2440944881889763E-2</v>
      </c>
      <c r="U64" s="53">
        <f t="shared" si="16"/>
        <v>13.804347826086957</v>
      </c>
      <c r="V64" s="40">
        <v>4.4000000000000004</v>
      </c>
      <c r="W64" s="41"/>
      <c r="X64" s="142">
        <f t="shared" si="26"/>
        <v>13.6</v>
      </c>
      <c r="Y64" s="16">
        <v>11.1</v>
      </c>
      <c r="Z64" s="69" t="s">
        <v>80</v>
      </c>
      <c r="AA64" s="107" t="str">
        <f t="shared" si="29"/>
        <v>YES</v>
      </c>
      <c r="AB64" s="71" t="s">
        <v>93</v>
      </c>
      <c r="AC64" s="127" t="s">
        <v>507</v>
      </c>
      <c r="AD64" s="45">
        <f t="shared" si="28"/>
        <v>20.299999999999997</v>
      </c>
      <c r="AE64" s="45"/>
      <c r="AF64" s="16"/>
      <c r="AG64" s="40"/>
      <c r="AH64" s="42"/>
      <c r="AI64" s="42"/>
      <c r="AJ64" s="18">
        <f>9.2-4.55</f>
        <v>4.6499999999999995</v>
      </c>
      <c r="AK64" s="18">
        <v>15.6</v>
      </c>
      <c r="AL64" s="18">
        <v>98</v>
      </c>
      <c r="AM64" s="18">
        <v>150</v>
      </c>
      <c r="AN64" s="18"/>
      <c r="AO64" s="18"/>
      <c r="AP64" s="18"/>
      <c r="AQ64" s="83"/>
      <c r="AR64" s="83"/>
      <c r="AS64" s="83"/>
      <c r="AT64" s="44"/>
      <c r="AU64" s="44"/>
      <c r="AV64" s="129"/>
      <c r="AW64" s="129"/>
      <c r="AX64" s="190" t="s">
        <v>508</v>
      </c>
      <c r="AY64" s="186"/>
      <c r="AZ64" s="105" t="s">
        <v>472</v>
      </c>
      <c r="BA64" s="186"/>
      <c r="BB64" s="188"/>
    </row>
    <row r="65" spans="1:54" ht="25.5" customHeight="1" x14ac:dyDescent="0.2">
      <c r="A65" s="17" t="s">
        <v>319</v>
      </c>
      <c r="B65" s="37"/>
      <c r="C65" s="17"/>
      <c r="D65" s="17"/>
      <c r="E65" s="48" t="s">
        <v>286</v>
      </c>
      <c r="F65" s="38">
        <v>9.1999999999999993</v>
      </c>
      <c r="G65" s="38" t="s">
        <v>364</v>
      </c>
      <c r="H65" s="17">
        <v>9.1</v>
      </c>
      <c r="I65" s="94">
        <f t="shared" si="27"/>
        <v>29.855643044619423</v>
      </c>
      <c r="J65" s="94">
        <v>11.4</v>
      </c>
      <c r="K65" s="17">
        <f t="shared" si="10"/>
        <v>666.01760021597158</v>
      </c>
      <c r="L65" s="18">
        <f t="shared" si="11"/>
        <v>25.468238911718515</v>
      </c>
      <c r="M65" s="18">
        <f t="shared" si="12"/>
        <v>32.651588348357073</v>
      </c>
      <c r="N65" s="19">
        <f t="shared" si="23"/>
        <v>-23.451588348357074</v>
      </c>
      <c r="O65" s="83">
        <f t="shared" si="13"/>
        <v>9.1999999999999993</v>
      </c>
      <c r="P65" s="61" t="s">
        <v>384</v>
      </c>
      <c r="Q65" s="61">
        <v>76</v>
      </c>
      <c r="R65" s="79">
        <f>1/39</f>
        <v>2.564102564102564E-2</v>
      </c>
      <c r="S65" s="39">
        <f t="shared" si="14"/>
        <v>39</v>
      </c>
      <c r="T65" s="54">
        <f t="shared" si="15"/>
        <v>0.12105263157894736</v>
      </c>
      <c r="U65" s="53">
        <f t="shared" si="16"/>
        <v>8.2608695652173925</v>
      </c>
      <c r="V65" s="40">
        <v>4.3</v>
      </c>
      <c r="W65" s="41"/>
      <c r="X65" s="142">
        <f t="shared" si="26"/>
        <v>13.5</v>
      </c>
      <c r="Y65" s="16">
        <v>5.61</v>
      </c>
      <c r="Z65" s="106" t="s">
        <v>438</v>
      </c>
      <c r="AA65" s="16" t="str">
        <f t="shared" si="29"/>
        <v>YES</v>
      </c>
      <c r="AB65" s="71" t="s">
        <v>93</v>
      </c>
      <c r="AC65" s="127" t="s">
        <v>507</v>
      </c>
      <c r="AD65" s="45">
        <f t="shared" si="28"/>
        <v>14.809999999999999</v>
      </c>
      <c r="AE65" s="45"/>
      <c r="AF65" s="16"/>
      <c r="AG65" s="40"/>
      <c r="AH65" s="42"/>
      <c r="AI65" s="42"/>
      <c r="AJ65" s="18">
        <f>9.2-9.65</f>
        <v>-0.45000000000000107</v>
      </c>
      <c r="AK65" s="18">
        <v>13.6</v>
      </c>
      <c r="AL65" s="18">
        <v>-10</v>
      </c>
      <c r="AM65" s="18">
        <v>113</v>
      </c>
      <c r="AN65" s="18"/>
      <c r="AO65" s="18"/>
      <c r="AP65" s="18"/>
      <c r="AQ65" s="83"/>
      <c r="AR65" s="83"/>
      <c r="AS65" s="83"/>
      <c r="AT65" s="44"/>
      <c r="AU65" s="44"/>
      <c r="AV65" s="129"/>
      <c r="AW65" s="129"/>
      <c r="AX65" s="190" t="s">
        <v>508</v>
      </c>
      <c r="AY65" s="105" t="s">
        <v>455</v>
      </c>
      <c r="AZ65" s="105" t="s">
        <v>473</v>
      </c>
      <c r="BA65" s="186"/>
      <c r="BB65" s="188"/>
    </row>
    <row r="66" spans="1:54" ht="76.5" customHeight="1" x14ac:dyDescent="0.2">
      <c r="A66" s="17" t="s">
        <v>317</v>
      </c>
      <c r="B66" s="37"/>
      <c r="C66" s="17"/>
      <c r="D66" s="17"/>
      <c r="E66" s="18" t="s">
        <v>285</v>
      </c>
      <c r="F66" s="38">
        <v>9.1999999999999993</v>
      </c>
      <c r="G66" s="38" t="s">
        <v>364</v>
      </c>
      <c r="H66" s="17">
        <v>9.1</v>
      </c>
      <c r="I66" s="94">
        <f t="shared" si="27"/>
        <v>29.855643044619423</v>
      </c>
      <c r="J66" s="94">
        <v>11.4</v>
      </c>
      <c r="K66" s="17">
        <f t="shared" si="10"/>
        <v>666.01760021597158</v>
      </c>
      <c r="L66" s="18">
        <f t="shared" si="11"/>
        <v>25.468238911718515</v>
      </c>
      <c r="M66" s="18">
        <f t="shared" si="12"/>
        <v>32.651588348357073</v>
      </c>
      <c r="N66" s="19">
        <f t="shared" si="23"/>
        <v>-23.451588348357074</v>
      </c>
      <c r="O66" s="83">
        <f t="shared" si="13"/>
        <v>9.1999999999999993</v>
      </c>
      <c r="P66" s="61" t="s">
        <v>384</v>
      </c>
      <c r="Q66" s="61">
        <v>50</v>
      </c>
      <c r="R66" s="79">
        <f>1/14</f>
        <v>7.1428571428571425E-2</v>
      </c>
      <c r="S66" s="39">
        <f t="shared" si="14"/>
        <v>14</v>
      </c>
      <c r="T66" s="54">
        <f t="shared" si="15"/>
        <v>0.184</v>
      </c>
      <c r="U66" s="53">
        <f t="shared" si="16"/>
        <v>5.4347826086956523</v>
      </c>
      <c r="V66" s="40">
        <v>5.2</v>
      </c>
      <c r="W66" s="41"/>
      <c r="X66" s="142">
        <f t="shared" si="26"/>
        <v>14.399999999999999</v>
      </c>
      <c r="Y66" s="16">
        <v>14.4</v>
      </c>
      <c r="Z66" s="69" t="s">
        <v>80</v>
      </c>
      <c r="AA66" s="107" t="str">
        <f t="shared" si="29"/>
        <v>YES</v>
      </c>
      <c r="AB66" s="71" t="s">
        <v>93</v>
      </c>
      <c r="AC66" s="127" t="s">
        <v>507</v>
      </c>
      <c r="AD66" s="45">
        <f t="shared" si="28"/>
        <v>23.6</v>
      </c>
      <c r="AE66" s="45"/>
      <c r="AF66" s="16"/>
      <c r="AG66" s="40"/>
      <c r="AH66" s="42"/>
      <c r="AI66" s="42"/>
      <c r="AJ66" s="18">
        <f>9.2-7.95</f>
        <v>1.2499999999999991</v>
      </c>
      <c r="AK66" s="18">
        <v>17.100000000000001</v>
      </c>
      <c r="AL66" s="18">
        <v>1</v>
      </c>
      <c r="AM66" s="18">
        <v>107</v>
      </c>
      <c r="AN66" s="18"/>
      <c r="AO66" s="18"/>
      <c r="AP66" s="18"/>
      <c r="AQ66" s="83"/>
      <c r="AR66" s="83"/>
      <c r="AS66" s="83"/>
      <c r="AT66" s="44"/>
      <c r="AU66" s="44"/>
      <c r="AV66" s="129"/>
      <c r="AW66" s="129"/>
      <c r="AX66" s="190" t="s">
        <v>508</v>
      </c>
      <c r="AY66" s="186"/>
      <c r="AZ66" s="105" t="s">
        <v>474</v>
      </c>
      <c r="BA66" s="186"/>
      <c r="BB66" s="188"/>
    </row>
    <row r="67" spans="1:54" ht="25.5" customHeight="1" x14ac:dyDescent="0.2">
      <c r="A67" s="17" t="s">
        <v>316</v>
      </c>
      <c r="B67" s="37"/>
      <c r="C67" s="17"/>
      <c r="D67" s="17"/>
      <c r="E67" s="38" t="s">
        <v>283</v>
      </c>
      <c r="F67" s="38">
        <v>9.1999999999999993</v>
      </c>
      <c r="G67" s="38" t="s">
        <v>364</v>
      </c>
      <c r="H67" s="17">
        <v>9.1</v>
      </c>
      <c r="I67" s="94">
        <f t="shared" si="27"/>
        <v>29.855643044619423</v>
      </c>
      <c r="J67" s="94">
        <v>11.4</v>
      </c>
      <c r="K67" s="17">
        <f t="shared" si="10"/>
        <v>666.01760021597158</v>
      </c>
      <c r="L67" s="18">
        <f t="shared" si="11"/>
        <v>25.468238911718515</v>
      </c>
      <c r="M67" s="18">
        <f t="shared" si="12"/>
        <v>32.651588348357073</v>
      </c>
      <c r="N67" s="19">
        <f t="shared" si="23"/>
        <v>-23.451588348357074</v>
      </c>
      <c r="O67" s="60">
        <f t="shared" si="13"/>
        <v>9.1999999999999993</v>
      </c>
      <c r="P67" s="61" t="s">
        <v>384</v>
      </c>
      <c r="Q67" s="61">
        <v>179</v>
      </c>
      <c r="R67" s="79">
        <f>1/96</f>
        <v>1.0416666666666666E-2</v>
      </c>
      <c r="S67" s="39">
        <f t="shared" si="14"/>
        <v>96</v>
      </c>
      <c r="T67" s="54">
        <f t="shared" si="15"/>
        <v>5.1396648044692732E-2</v>
      </c>
      <c r="U67" s="53">
        <f t="shared" si="16"/>
        <v>19.456521739130437</v>
      </c>
      <c r="V67" s="40">
        <v>3.6</v>
      </c>
      <c r="W67" s="41"/>
      <c r="X67" s="142">
        <f t="shared" si="26"/>
        <v>12.799999999999999</v>
      </c>
      <c r="Y67" s="16">
        <v>6.54</v>
      </c>
      <c r="Z67" s="101" t="s">
        <v>92</v>
      </c>
      <c r="AA67" s="16" t="str">
        <f t="shared" si="29"/>
        <v>YES</v>
      </c>
      <c r="AB67" s="100" t="s">
        <v>93</v>
      </c>
      <c r="AC67" s="127" t="s">
        <v>507</v>
      </c>
      <c r="AD67" s="45">
        <f t="shared" si="28"/>
        <v>15.739999999999998</v>
      </c>
      <c r="AE67" s="45"/>
      <c r="AF67" s="16"/>
      <c r="AG67" s="40"/>
      <c r="AH67" s="42"/>
      <c r="AI67" s="42"/>
      <c r="AJ67" s="120">
        <v>3.5</v>
      </c>
      <c r="AK67" s="120">
        <v>13.5</v>
      </c>
      <c r="AL67" s="18">
        <v>94</v>
      </c>
      <c r="AM67" s="18">
        <v>223</v>
      </c>
      <c r="AN67" s="18"/>
      <c r="AO67" s="18"/>
      <c r="AP67" s="18"/>
      <c r="AQ67" s="83"/>
      <c r="AR67" s="83"/>
      <c r="AS67" s="83"/>
      <c r="AT67" s="44"/>
      <c r="AU67" s="66"/>
      <c r="AV67" s="129"/>
      <c r="AW67" s="129"/>
      <c r="AX67" s="190" t="s">
        <v>508</v>
      </c>
      <c r="AY67" s="186"/>
      <c r="AZ67" s="105" t="s">
        <v>475</v>
      </c>
      <c r="BA67" s="186"/>
      <c r="BB67" s="188"/>
    </row>
    <row r="68" spans="1:54" ht="12.75" customHeight="1" x14ac:dyDescent="0.2">
      <c r="A68" s="75" t="s">
        <v>315</v>
      </c>
      <c r="B68" s="37"/>
      <c r="C68" s="17"/>
      <c r="D68" s="17"/>
      <c r="E68" s="18" t="s">
        <v>306</v>
      </c>
      <c r="F68" s="38">
        <v>9.1999999999999993</v>
      </c>
      <c r="G68" s="38" t="s">
        <v>364</v>
      </c>
      <c r="H68" s="17">
        <v>9.1</v>
      </c>
      <c r="I68" s="94">
        <f t="shared" si="27"/>
        <v>29.855643044619423</v>
      </c>
      <c r="J68" s="94">
        <v>11.4</v>
      </c>
      <c r="K68" s="17">
        <f t="shared" ref="K68:K131" si="30">(32.2*J68^2)/(2*PI())</f>
        <v>666.01760021597158</v>
      </c>
      <c r="L68" s="18">
        <f t="shared" ref="L68:L131" si="31">I68/(3.3*(I68/K68)^(1/3))</f>
        <v>25.468238911718515</v>
      </c>
      <c r="M68" s="18">
        <f t="shared" ref="M68:M131" si="32">L68/0.78</f>
        <v>32.651588348357073</v>
      </c>
      <c r="N68" s="19">
        <f t="shared" si="23"/>
        <v>-23.451588348357074</v>
      </c>
      <c r="O68" s="83">
        <f t="shared" ref="O68:O131" si="33">F68</f>
        <v>9.1999999999999993</v>
      </c>
      <c r="P68" s="61" t="s">
        <v>384</v>
      </c>
      <c r="Q68" s="61">
        <v>214</v>
      </c>
      <c r="R68" s="79">
        <f>1/4</f>
        <v>0.25</v>
      </c>
      <c r="S68" s="39">
        <f t="shared" ref="S68:S131" si="34">1/R68</f>
        <v>4</v>
      </c>
      <c r="T68" s="54">
        <f t="shared" ref="T68:T131" si="35">O68/Q68</f>
        <v>4.2990654205607472E-2</v>
      </c>
      <c r="U68" s="53">
        <f t="shared" ref="U68:U131" si="36">1/T68</f>
        <v>23.260869565217394</v>
      </c>
      <c r="V68" s="40">
        <v>6.7</v>
      </c>
      <c r="W68" s="41">
        <v>6.5</v>
      </c>
      <c r="X68" s="44">
        <f t="shared" ref="X68:X131" si="37">IF(W68&lt;&gt;"",W68+F68,F68+V68)</f>
        <v>15.7</v>
      </c>
      <c r="Y68" s="16">
        <v>9.5</v>
      </c>
      <c r="Z68" s="184" t="s">
        <v>527</v>
      </c>
      <c r="AA68" s="16" t="str">
        <f t="shared" si="29"/>
        <v>YES</v>
      </c>
      <c r="AB68" s="100" t="s">
        <v>93</v>
      </c>
      <c r="AC68" s="127" t="s">
        <v>507</v>
      </c>
      <c r="AD68" s="45">
        <f t="shared" si="28"/>
        <v>18.7</v>
      </c>
      <c r="AE68" s="45"/>
      <c r="AF68" s="16"/>
      <c r="AG68" s="40"/>
      <c r="AH68" s="42"/>
      <c r="AI68" s="42"/>
      <c r="AJ68" s="18">
        <f>9.2-3.78</f>
        <v>5.42</v>
      </c>
      <c r="AK68" s="18">
        <v>13.6</v>
      </c>
      <c r="AL68" s="18">
        <v>200</v>
      </c>
      <c r="AM68" s="18">
        <v>223</v>
      </c>
      <c r="AN68" s="18"/>
      <c r="AO68" s="18"/>
      <c r="AP68" s="18"/>
      <c r="AQ68" s="83"/>
      <c r="AR68" s="83"/>
      <c r="AS68" s="83"/>
      <c r="AT68" s="44"/>
      <c r="AU68" s="73"/>
      <c r="AV68" s="192"/>
      <c r="AW68" s="129"/>
      <c r="AX68" s="190" t="s">
        <v>508</v>
      </c>
      <c r="AY68" s="185" t="s">
        <v>529</v>
      </c>
      <c r="AZ68" s="87"/>
      <c r="BA68" s="186"/>
      <c r="BB68" s="188"/>
    </row>
    <row r="69" spans="1:54" ht="38.25" customHeight="1" x14ac:dyDescent="0.2">
      <c r="A69" s="75" t="s">
        <v>314</v>
      </c>
      <c r="B69" s="37"/>
      <c r="C69" s="17"/>
      <c r="D69" s="17"/>
      <c r="E69" s="18" t="s">
        <v>305</v>
      </c>
      <c r="F69" s="38">
        <v>9.1999999999999993</v>
      </c>
      <c r="G69" s="38" t="s">
        <v>364</v>
      </c>
      <c r="H69" s="17">
        <v>9.1</v>
      </c>
      <c r="I69" s="94">
        <f t="shared" si="27"/>
        <v>29.855643044619423</v>
      </c>
      <c r="J69" s="94">
        <v>11.4</v>
      </c>
      <c r="K69" s="17">
        <f t="shared" si="30"/>
        <v>666.01760021597158</v>
      </c>
      <c r="L69" s="18">
        <f t="shared" si="31"/>
        <v>25.468238911718515</v>
      </c>
      <c r="M69" s="18">
        <f t="shared" si="32"/>
        <v>32.651588348357073</v>
      </c>
      <c r="N69" s="19">
        <f t="shared" si="23"/>
        <v>-23.451588348357074</v>
      </c>
      <c r="O69" s="83">
        <f t="shared" si="33"/>
        <v>9.1999999999999993</v>
      </c>
      <c r="P69" s="61" t="s">
        <v>384</v>
      </c>
      <c r="Q69" s="61">
        <v>30</v>
      </c>
      <c r="R69" s="79">
        <f>1/3</f>
        <v>0.33333333333333331</v>
      </c>
      <c r="S69" s="39">
        <f t="shared" si="34"/>
        <v>3</v>
      </c>
      <c r="T69" s="54">
        <f t="shared" si="35"/>
        <v>0.30666666666666664</v>
      </c>
      <c r="U69" s="53">
        <f t="shared" si="36"/>
        <v>3.2608695652173916</v>
      </c>
      <c r="V69" s="40">
        <v>7.1</v>
      </c>
      <c r="W69" s="41">
        <v>7.2</v>
      </c>
      <c r="X69" s="44">
        <f t="shared" si="37"/>
        <v>16.399999999999999</v>
      </c>
      <c r="Y69" s="16">
        <v>10.199999999999999</v>
      </c>
      <c r="Z69" s="184" t="s">
        <v>527</v>
      </c>
      <c r="AA69" s="16" t="str">
        <f t="shared" si="29"/>
        <v>YES</v>
      </c>
      <c r="AB69" s="100" t="s">
        <v>93</v>
      </c>
      <c r="AC69" s="127" t="s">
        <v>507</v>
      </c>
      <c r="AD69" s="45">
        <f t="shared" si="28"/>
        <v>19.399999999999999</v>
      </c>
      <c r="AE69" s="45"/>
      <c r="AF69" s="16"/>
      <c r="AG69" s="40"/>
      <c r="AH69" s="42"/>
      <c r="AI69" s="42"/>
      <c r="AJ69" s="18">
        <f>9.2-3.95</f>
        <v>5.2499999999999991</v>
      </c>
      <c r="AK69" s="18">
        <v>14.3</v>
      </c>
      <c r="AL69" s="18">
        <v>18</v>
      </c>
      <c r="AM69" s="18">
        <v>77</v>
      </c>
      <c r="AN69" s="18"/>
      <c r="AO69" s="18"/>
      <c r="AP69" s="18"/>
      <c r="AQ69" s="83"/>
      <c r="AR69" s="83"/>
      <c r="AS69" s="83"/>
      <c r="AT69" s="44"/>
      <c r="AU69" s="73"/>
      <c r="AV69" s="192"/>
      <c r="AW69" s="129"/>
      <c r="AX69" s="190" t="s">
        <v>508</v>
      </c>
      <c r="AY69" s="185" t="s">
        <v>529</v>
      </c>
      <c r="AZ69" s="87"/>
      <c r="BA69" s="186"/>
      <c r="BB69" s="188"/>
    </row>
    <row r="70" spans="1:54" x14ac:dyDescent="0.2">
      <c r="A70" s="46" t="s">
        <v>338</v>
      </c>
      <c r="B70" s="55"/>
      <c r="C70" s="46"/>
      <c r="D70" s="46"/>
      <c r="E70" s="52" t="s">
        <v>376</v>
      </c>
      <c r="F70" s="46">
        <v>8.9</v>
      </c>
      <c r="G70" s="47" t="s">
        <v>364</v>
      </c>
      <c r="H70" s="38">
        <v>9.1</v>
      </c>
      <c r="I70" s="94">
        <f t="shared" si="27"/>
        <v>29.855643044619423</v>
      </c>
      <c r="J70" s="94">
        <v>11.4</v>
      </c>
      <c r="K70" s="17">
        <f t="shared" si="30"/>
        <v>666.01760021597158</v>
      </c>
      <c r="L70" s="18">
        <f t="shared" si="31"/>
        <v>25.468238911718515</v>
      </c>
      <c r="M70" s="18">
        <f t="shared" si="32"/>
        <v>32.651588348357073</v>
      </c>
      <c r="N70" s="19">
        <f t="shared" si="23"/>
        <v>-23.751588348357075</v>
      </c>
      <c r="O70" s="83">
        <f t="shared" si="33"/>
        <v>8.9</v>
      </c>
      <c r="P70" s="61" t="s">
        <v>384</v>
      </c>
      <c r="Q70" s="61">
        <v>299</v>
      </c>
      <c r="R70" s="79">
        <f>1/63</f>
        <v>1.5873015873015872E-2</v>
      </c>
      <c r="S70" s="53">
        <f t="shared" si="34"/>
        <v>63</v>
      </c>
      <c r="T70" s="54">
        <f t="shared" si="35"/>
        <v>2.9765886287625418E-2</v>
      </c>
      <c r="U70" s="53">
        <f t="shared" si="36"/>
        <v>33.59550561797753</v>
      </c>
      <c r="V70" s="54">
        <v>3.6</v>
      </c>
      <c r="W70" s="55"/>
      <c r="X70" s="44">
        <f t="shared" si="37"/>
        <v>12.5</v>
      </c>
      <c r="Y70" s="46">
        <v>8.82</v>
      </c>
      <c r="Z70" s="97" t="s">
        <v>92</v>
      </c>
      <c r="AA70" s="46" t="str">
        <f t="shared" si="29"/>
        <v>YES</v>
      </c>
      <c r="AB70" s="85" t="s">
        <v>94</v>
      </c>
      <c r="AC70" s="78" t="s">
        <v>363</v>
      </c>
      <c r="AD70" s="45">
        <f t="shared" si="28"/>
        <v>17.72</v>
      </c>
      <c r="AE70" s="55"/>
      <c r="AF70" s="46"/>
      <c r="AG70" s="54">
        <v>8.8000000000000007</v>
      </c>
      <c r="AH70" s="97" t="s">
        <v>92</v>
      </c>
      <c r="AI70" s="52" t="str">
        <f>IF(AD70&gt;AK70,"YES","NO")</f>
        <v>YES</v>
      </c>
      <c r="AJ70" s="52">
        <v>9.75</v>
      </c>
      <c r="AK70" s="52">
        <v>11.35</v>
      </c>
      <c r="AL70" s="52">
        <v>356</v>
      </c>
      <c r="AM70" s="93">
        <v>357</v>
      </c>
      <c r="AN70" s="92">
        <v>351</v>
      </c>
      <c r="AO70" s="92">
        <v>9.6</v>
      </c>
      <c r="AP70" s="52"/>
      <c r="AQ70" s="52"/>
      <c r="AR70" s="52"/>
      <c r="AS70" s="52"/>
      <c r="AT70" s="18"/>
      <c r="AU70" s="99" t="s">
        <v>454</v>
      </c>
      <c r="AV70" s="87"/>
      <c r="AW70" s="87"/>
      <c r="AX70" s="86" t="s">
        <v>93</v>
      </c>
      <c r="AY70" s="87"/>
      <c r="AZ70" s="87"/>
      <c r="BA70" s="87"/>
      <c r="BB70" s="160"/>
    </row>
    <row r="71" spans="1:54" ht="25.5" customHeight="1" x14ac:dyDescent="0.2">
      <c r="A71" s="46" t="s">
        <v>339</v>
      </c>
      <c r="B71" s="55"/>
      <c r="C71" s="46"/>
      <c r="D71" s="46"/>
      <c r="E71" s="52" t="s">
        <v>368</v>
      </c>
      <c r="F71" s="46">
        <v>8.9</v>
      </c>
      <c r="G71" s="47" t="s">
        <v>364</v>
      </c>
      <c r="H71" s="38">
        <v>9.1</v>
      </c>
      <c r="I71" s="94">
        <f t="shared" si="27"/>
        <v>29.855643044619423</v>
      </c>
      <c r="J71" s="94">
        <v>11.4</v>
      </c>
      <c r="K71" s="17">
        <f t="shared" si="30"/>
        <v>666.01760021597158</v>
      </c>
      <c r="L71" s="18">
        <f t="shared" si="31"/>
        <v>25.468238911718515</v>
      </c>
      <c r="M71" s="18">
        <f t="shared" si="32"/>
        <v>32.651588348357073</v>
      </c>
      <c r="N71" s="19">
        <f t="shared" si="23"/>
        <v>-23.751588348357075</v>
      </c>
      <c r="O71" s="83">
        <f t="shared" si="33"/>
        <v>8.9</v>
      </c>
      <c r="P71" s="61" t="s">
        <v>384</v>
      </c>
      <c r="Q71" s="61">
        <v>290</v>
      </c>
      <c r="R71" s="79">
        <f>1/67</f>
        <v>1.4925373134328358E-2</v>
      </c>
      <c r="S71" s="53">
        <f t="shared" si="34"/>
        <v>67</v>
      </c>
      <c r="T71" s="54">
        <f t="shared" si="35"/>
        <v>3.0689655172413795E-2</v>
      </c>
      <c r="U71" s="53">
        <f t="shared" si="36"/>
        <v>32.584269662921344</v>
      </c>
      <c r="V71" s="54">
        <v>3.8</v>
      </c>
      <c r="W71" s="55"/>
      <c r="X71" s="44">
        <f t="shared" si="37"/>
        <v>12.7</v>
      </c>
      <c r="Y71" s="46">
        <v>8.4499999999999993</v>
      </c>
      <c r="Z71" s="97" t="s">
        <v>92</v>
      </c>
      <c r="AA71" s="46" t="str">
        <f t="shared" si="29"/>
        <v>YES</v>
      </c>
      <c r="AB71" s="85" t="s">
        <v>94</v>
      </c>
      <c r="AC71" s="78" t="s">
        <v>363</v>
      </c>
      <c r="AD71" s="45">
        <f t="shared" si="28"/>
        <v>17.350000000000001</v>
      </c>
      <c r="AE71" s="55"/>
      <c r="AF71" s="77">
        <v>4</v>
      </c>
      <c r="AG71" s="54">
        <v>8.5</v>
      </c>
      <c r="AH71" s="97" t="s">
        <v>92</v>
      </c>
      <c r="AI71" s="52" t="str">
        <f>IF(AD71&gt;AK71,"YES","NO")</f>
        <v>YES</v>
      </c>
      <c r="AJ71" s="92">
        <v>9.8000000000000007</v>
      </c>
      <c r="AK71" s="92">
        <v>12.29</v>
      </c>
      <c r="AL71" s="92">
        <v>331</v>
      </c>
      <c r="AM71" s="92">
        <v>331.85611447844798</v>
      </c>
      <c r="AN71" s="92">
        <v>348</v>
      </c>
      <c r="AO71" s="92">
        <v>12.4</v>
      </c>
      <c r="AP71" s="52"/>
      <c r="AQ71" s="52"/>
      <c r="AR71" s="52"/>
      <c r="AS71" s="52"/>
      <c r="AT71" s="18"/>
      <c r="AU71" s="99" t="s">
        <v>454</v>
      </c>
      <c r="AV71" s="87"/>
      <c r="AW71" s="86"/>
      <c r="AX71" s="86" t="s">
        <v>93</v>
      </c>
      <c r="AY71" s="87"/>
      <c r="AZ71" s="87"/>
      <c r="BA71" s="87"/>
      <c r="BB71" s="160"/>
    </row>
    <row r="72" spans="1:54" ht="76.5" customHeight="1" x14ac:dyDescent="0.2">
      <c r="A72" s="46" t="s">
        <v>340</v>
      </c>
      <c r="B72" s="55"/>
      <c r="C72" s="46"/>
      <c r="D72" s="46"/>
      <c r="E72" s="38" t="s">
        <v>337</v>
      </c>
      <c r="F72" s="46">
        <v>8.9</v>
      </c>
      <c r="G72" s="47" t="s">
        <v>364</v>
      </c>
      <c r="H72" s="38">
        <v>9.1</v>
      </c>
      <c r="I72" s="94">
        <f t="shared" si="27"/>
        <v>29.855643044619423</v>
      </c>
      <c r="J72" s="94">
        <v>11.4</v>
      </c>
      <c r="K72" s="17">
        <f t="shared" si="30"/>
        <v>666.01760021597158</v>
      </c>
      <c r="L72" s="18">
        <f t="shared" si="31"/>
        <v>25.468238911718515</v>
      </c>
      <c r="M72" s="18">
        <f t="shared" si="32"/>
        <v>32.651588348357073</v>
      </c>
      <c r="N72" s="19">
        <f t="shared" si="23"/>
        <v>-23.751588348357075</v>
      </c>
      <c r="O72" s="83">
        <f t="shared" si="33"/>
        <v>8.9</v>
      </c>
      <c r="P72" s="61" t="s">
        <v>384</v>
      </c>
      <c r="Q72" s="61">
        <v>284</v>
      </c>
      <c r="R72" s="79">
        <f>1/56</f>
        <v>1.7857142857142856E-2</v>
      </c>
      <c r="S72" s="53">
        <f t="shared" si="34"/>
        <v>56</v>
      </c>
      <c r="T72" s="54">
        <f t="shared" si="35"/>
        <v>3.1338028169014084E-2</v>
      </c>
      <c r="U72" s="53">
        <f t="shared" si="36"/>
        <v>31.910112359550563</v>
      </c>
      <c r="V72" s="54">
        <v>4</v>
      </c>
      <c r="W72" s="55"/>
      <c r="X72" s="44">
        <f t="shared" si="37"/>
        <v>12.9</v>
      </c>
      <c r="Y72" s="46">
        <v>9.59</v>
      </c>
      <c r="Z72" s="97" t="s">
        <v>92</v>
      </c>
      <c r="AA72" s="16" t="str">
        <f t="shared" si="29"/>
        <v>YES</v>
      </c>
      <c r="AB72" s="85" t="s">
        <v>93</v>
      </c>
      <c r="AC72" s="52"/>
      <c r="AD72" s="45">
        <f t="shared" si="28"/>
        <v>18.490000000000002</v>
      </c>
      <c r="AE72" s="55"/>
      <c r="AF72" s="46"/>
      <c r="AG72" s="54"/>
      <c r="AH72" s="52"/>
      <c r="AI72" s="52"/>
      <c r="AJ72" s="52">
        <v>2.9</v>
      </c>
      <c r="AK72" s="52">
        <v>11.2</v>
      </c>
      <c r="AL72" s="52">
        <v>123</v>
      </c>
      <c r="AM72" s="52">
        <v>435</v>
      </c>
      <c r="AN72" s="52"/>
      <c r="AO72" s="52"/>
      <c r="AP72" s="52"/>
      <c r="AQ72" s="52"/>
      <c r="AR72" s="52"/>
      <c r="AS72" s="52"/>
      <c r="AT72" s="18"/>
      <c r="AU72" s="18"/>
      <c r="AV72" s="87"/>
      <c r="AW72" s="87"/>
      <c r="AX72" s="86" t="s">
        <v>434</v>
      </c>
      <c r="AY72" s="87"/>
      <c r="AZ72" s="87"/>
      <c r="BA72" s="87"/>
      <c r="BB72" s="160"/>
    </row>
    <row r="73" spans="1:54" ht="38.25" customHeight="1" x14ac:dyDescent="0.2">
      <c r="A73" s="46" t="s">
        <v>341</v>
      </c>
      <c r="B73" s="55"/>
      <c r="C73" s="46"/>
      <c r="D73" s="46"/>
      <c r="E73" s="52" t="s">
        <v>336</v>
      </c>
      <c r="F73" s="46">
        <v>8.9</v>
      </c>
      <c r="G73" s="47" t="s">
        <v>364</v>
      </c>
      <c r="H73" s="38">
        <v>9.1</v>
      </c>
      <c r="I73" s="94">
        <f t="shared" si="27"/>
        <v>29.855643044619423</v>
      </c>
      <c r="J73" s="94">
        <v>11.4</v>
      </c>
      <c r="K73" s="17">
        <f t="shared" si="30"/>
        <v>666.01760021597158</v>
      </c>
      <c r="L73" s="18">
        <f t="shared" si="31"/>
        <v>25.468238911718515</v>
      </c>
      <c r="M73" s="18">
        <f t="shared" si="32"/>
        <v>32.651588348357073</v>
      </c>
      <c r="N73" s="19">
        <f t="shared" si="23"/>
        <v>-23.751588348357075</v>
      </c>
      <c r="O73" s="83">
        <f t="shared" si="33"/>
        <v>8.9</v>
      </c>
      <c r="P73" s="61" t="s">
        <v>384</v>
      </c>
      <c r="Q73" s="61">
        <v>348</v>
      </c>
      <c r="R73" s="79">
        <f>1/124</f>
        <v>8.0645161290322578E-3</v>
      </c>
      <c r="S73" s="53">
        <f t="shared" si="34"/>
        <v>124</v>
      </c>
      <c r="T73" s="54">
        <f t="shared" si="35"/>
        <v>2.5574712643678162E-2</v>
      </c>
      <c r="U73" s="53">
        <f t="shared" si="36"/>
        <v>39.101123595505619</v>
      </c>
      <c r="V73" s="54">
        <v>3.4</v>
      </c>
      <c r="W73" s="55"/>
      <c r="X73" s="44">
        <f t="shared" si="37"/>
        <v>12.3</v>
      </c>
      <c r="Y73" s="46">
        <v>5.46</v>
      </c>
      <c r="Z73" s="97" t="s">
        <v>92</v>
      </c>
      <c r="AA73" s="16" t="str">
        <f t="shared" si="29"/>
        <v>YES</v>
      </c>
      <c r="AB73" s="85" t="s">
        <v>93</v>
      </c>
      <c r="AC73" s="52"/>
      <c r="AD73" s="45">
        <f t="shared" si="28"/>
        <v>14.36</v>
      </c>
      <c r="AE73" s="55"/>
      <c r="AF73" s="46"/>
      <c r="AG73" s="54"/>
      <c r="AH73" s="52"/>
      <c r="AI73" s="52"/>
      <c r="AJ73" s="52">
        <v>1.97</v>
      </c>
      <c r="AK73" s="52">
        <v>13.68</v>
      </c>
      <c r="AL73" s="52">
        <v>225</v>
      </c>
      <c r="AM73" s="52">
        <v>612.20000000000005</v>
      </c>
      <c r="AN73" s="52"/>
      <c r="AO73" s="52"/>
      <c r="AP73" s="52"/>
      <c r="AQ73" s="52"/>
      <c r="AR73" s="52"/>
      <c r="AS73" s="52"/>
      <c r="AT73" s="18"/>
      <c r="AU73" s="18"/>
      <c r="AV73" s="87"/>
      <c r="AW73" s="87"/>
      <c r="AX73" s="86" t="s">
        <v>434</v>
      </c>
      <c r="AY73" s="87"/>
      <c r="AZ73" s="87"/>
      <c r="BA73" s="87"/>
      <c r="BB73" s="160"/>
    </row>
    <row r="74" spans="1:54" x14ac:dyDescent="0.2">
      <c r="A74" s="46" t="s">
        <v>342</v>
      </c>
      <c r="B74" s="55"/>
      <c r="C74" s="46"/>
      <c r="D74" s="46"/>
      <c r="E74" s="52" t="s">
        <v>335</v>
      </c>
      <c r="F74" s="46">
        <v>8.9</v>
      </c>
      <c r="G74" s="47" t="s">
        <v>364</v>
      </c>
      <c r="H74" s="38">
        <v>9.1</v>
      </c>
      <c r="I74" s="94">
        <f t="shared" si="27"/>
        <v>29.855643044619423</v>
      </c>
      <c r="J74" s="94">
        <v>11.4</v>
      </c>
      <c r="K74" s="17">
        <f t="shared" si="30"/>
        <v>666.01760021597158</v>
      </c>
      <c r="L74" s="18">
        <f t="shared" si="31"/>
        <v>25.468238911718515</v>
      </c>
      <c r="M74" s="18">
        <f t="shared" si="32"/>
        <v>32.651588348357073</v>
      </c>
      <c r="N74" s="19">
        <f t="shared" si="23"/>
        <v>-23.751588348357075</v>
      </c>
      <c r="O74" s="83">
        <f t="shared" si="33"/>
        <v>8.9</v>
      </c>
      <c r="P74" s="61" t="s">
        <v>384</v>
      </c>
      <c r="Q74" s="61">
        <v>164</v>
      </c>
      <c r="R74" s="79">
        <f>1/60</f>
        <v>1.6666666666666666E-2</v>
      </c>
      <c r="S74" s="53">
        <f t="shared" si="34"/>
        <v>60</v>
      </c>
      <c r="T74" s="54">
        <f t="shared" si="35"/>
        <v>5.4268292682926829E-2</v>
      </c>
      <c r="U74" s="53">
        <f t="shared" si="36"/>
        <v>18.426966292134832</v>
      </c>
      <c r="V74" s="54">
        <v>3.9</v>
      </c>
      <c r="W74" s="55"/>
      <c r="X74" s="44">
        <f t="shared" si="37"/>
        <v>12.8</v>
      </c>
      <c r="Y74" s="46">
        <v>9.1300000000000008</v>
      </c>
      <c r="Z74" s="97" t="s">
        <v>92</v>
      </c>
      <c r="AA74" s="16" t="str">
        <f t="shared" si="29"/>
        <v>YES</v>
      </c>
      <c r="AB74" s="85" t="s">
        <v>93</v>
      </c>
      <c r="AC74" s="52"/>
      <c r="AD74" s="45">
        <f t="shared" si="28"/>
        <v>18.03</v>
      </c>
      <c r="AE74" s="55"/>
      <c r="AF74" s="46"/>
      <c r="AG74" s="54"/>
      <c r="AH74" s="52"/>
      <c r="AI74" s="52"/>
      <c r="AJ74" s="52">
        <v>1.8</v>
      </c>
      <c r="AK74" s="52">
        <v>12.9</v>
      </c>
      <c r="AL74" s="52">
        <v>59</v>
      </c>
      <c r="AM74" s="52">
        <v>485.8</v>
      </c>
      <c r="AN74" s="52"/>
      <c r="AO74" s="52"/>
      <c r="AP74" s="52"/>
      <c r="AQ74" s="52"/>
      <c r="AR74" s="52"/>
      <c r="AS74" s="52"/>
      <c r="AT74" s="18"/>
      <c r="AU74" s="18"/>
      <c r="AV74" s="87"/>
      <c r="AW74" s="87"/>
      <c r="AX74" s="86" t="s">
        <v>434</v>
      </c>
      <c r="AY74" s="87"/>
      <c r="AZ74" s="87"/>
      <c r="BA74" s="87"/>
      <c r="BB74" s="160"/>
    </row>
    <row r="75" spans="1:54" ht="38.25" customHeight="1" x14ac:dyDescent="0.2">
      <c r="A75" s="46" t="s">
        <v>343</v>
      </c>
      <c r="B75" s="55"/>
      <c r="C75" s="46"/>
      <c r="D75" s="46"/>
      <c r="E75" s="48" t="s">
        <v>334</v>
      </c>
      <c r="F75" s="46">
        <v>8.9</v>
      </c>
      <c r="G75" s="47" t="s">
        <v>364</v>
      </c>
      <c r="H75" s="38">
        <v>9.1</v>
      </c>
      <c r="I75" s="94">
        <f t="shared" si="27"/>
        <v>29.855643044619423</v>
      </c>
      <c r="J75" s="94">
        <v>11.4</v>
      </c>
      <c r="K75" s="17">
        <f t="shared" si="30"/>
        <v>666.01760021597158</v>
      </c>
      <c r="L75" s="18">
        <f t="shared" si="31"/>
        <v>25.468238911718515</v>
      </c>
      <c r="M75" s="18">
        <f t="shared" si="32"/>
        <v>32.651588348357073</v>
      </c>
      <c r="N75" s="19">
        <f t="shared" si="23"/>
        <v>-23.751588348357075</v>
      </c>
      <c r="O75" s="83">
        <f t="shared" si="33"/>
        <v>8.9</v>
      </c>
      <c r="P75" s="61" t="s">
        <v>384</v>
      </c>
      <c r="Q75" s="61">
        <v>91</v>
      </c>
      <c r="R75" s="79">
        <f>1/51</f>
        <v>1.9607843137254902E-2</v>
      </c>
      <c r="S75" s="53">
        <f t="shared" si="34"/>
        <v>51</v>
      </c>
      <c r="T75" s="54">
        <f t="shared" si="35"/>
        <v>9.7802197802197802E-2</v>
      </c>
      <c r="U75" s="53">
        <f t="shared" si="36"/>
        <v>10.224719101123595</v>
      </c>
      <c r="V75" s="54">
        <v>4.0999999999999996</v>
      </c>
      <c r="W75" s="55"/>
      <c r="X75" s="83">
        <f t="shared" si="37"/>
        <v>13</v>
      </c>
      <c r="Y75" s="46">
        <v>3</v>
      </c>
      <c r="Z75" s="88" t="s">
        <v>438</v>
      </c>
      <c r="AA75" s="16" t="str">
        <f t="shared" si="29"/>
        <v>NO</v>
      </c>
      <c r="AB75" s="85" t="s">
        <v>93</v>
      </c>
      <c r="AC75" s="48"/>
      <c r="AD75" s="45">
        <f t="shared" si="28"/>
        <v>11.9</v>
      </c>
      <c r="AE75" s="55"/>
      <c r="AF75" s="46"/>
      <c r="AG75" s="54"/>
      <c r="AH75" s="78"/>
      <c r="AI75" s="52"/>
      <c r="AJ75" s="52">
        <v>0.2</v>
      </c>
      <c r="AK75" s="52">
        <v>15</v>
      </c>
      <c r="AL75" s="52">
        <v>1</v>
      </c>
      <c r="AM75" s="52">
        <v>197.4</v>
      </c>
      <c r="AN75" s="52"/>
      <c r="AO75" s="52"/>
      <c r="AP75" s="52"/>
      <c r="AQ75" s="52"/>
      <c r="AR75" s="52"/>
      <c r="AS75" s="52"/>
      <c r="AT75" s="18"/>
      <c r="AU75" s="18"/>
      <c r="AV75" s="87"/>
      <c r="AW75" s="87"/>
      <c r="AX75" s="86" t="s">
        <v>435</v>
      </c>
      <c r="AY75" s="105" t="s">
        <v>455</v>
      </c>
      <c r="AZ75" s="87"/>
      <c r="BA75" s="87"/>
      <c r="BB75" s="160"/>
    </row>
    <row r="76" spans="1:54" ht="25.5" customHeight="1" x14ac:dyDescent="0.2">
      <c r="A76" s="46" t="s">
        <v>344</v>
      </c>
      <c r="B76" s="55"/>
      <c r="C76" s="46"/>
      <c r="D76" s="46"/>
      <c r="E76" s="18" t="s">
        <v>333</v>
      </c>
      <c r="F76" s="46">
        <v>8.9</v>
      </c>
      <c r="G76" s="47" t="s">
        <v>364</v>
      </c>
      <c r="H76" s="38">
        <v>9.1</v>
      </c>
      <c r="I76" s="94">
        <f t="shared" si="27"/>
        <v>29.855643044619423</v>
      </c>
      <c r="J76" s="94">
        <v>11.4</v>
      </c>
      <c r="K76" s="17">
        <f t="shared" si="30"/>
        <v>666.01760021597158</v>
      </c>
      <c r="L76" s="18">
        <f t="shared" si="31"/>
        <v>25.468238911718515</v>
      </c>
      <c r="M76" s="18">
        <f t="shared" si="32"/>
        <v>32.651588348357073</v>
      </c>
      <c r="N76" s="19">
        <f t="shared" si="23"/>
        <v>-23.751588348357075</v>
      </c>
      <c r="O76" s="83">
        <f t="shared" si="33"/>
        <v>8.9</v>
      </c>
      <c r="P76" s="61" t="s">
        <v>384</v>
      </c>
      <c r="Q76" s="61">
        <v>119</v>
      </c>
      <c r="R76" s="79">
        <f>1/43</f>
        <v>2.3255813953488372E-2</v>
      </c>
      <c r="S76" s="53">
        <f t="shared" si="34"/>
        <v>43</v>
      </c>
      <c r="T76" s="54">
        <f t="shared" si="35"/>
        <v>7.4789915966386553E-2</v>
      </c>
      <c r="U76" s="53">
        <f t="shared" si="36"/>
        <v>13.370786516853933</v>
      </c>
      <c r="V76" s="54">
        <v>4.2</v>
      </c>
      <c r="W76" s="55"/>
      <c r="X76" s="83">
        <f t="shared" si="37"/>
        <v>13.100000000000001</v>
      </c>
      <c r="Y76" s="46">
        <v>11.57</v>
      </c>
      <c r="Z76" s="97" t="s">
        <v>92</v>
      </c>
      <c r="AA76" s="16" t="str">
        <f t="shared" si="29"/>
        <v>YES</v>
      </c>
      <c r="AB76" s="85" t="s">
        <v>93</v>
      </c>
      <c r="AC76" s="52"/>
      <c r="AD76" s="45">
        <f t="shared" si="28"/>
        <v>20.47</v>
      </c>
      <c r="AE76" s="55"/>
      <c r="AF76" s="46"/>
      <c r="AG76" s="54"/>
      <c r="AH76" s="52"/>
      <c r="AI76" s="52"/>
      <c r="AJ76" s="52">
        <v>0.1</v>
      </c>
      <c r="AK76" s="52">
        <v>12.4</v>
      </c>
      <c r="AL76" s="52">
        <v>0</v>
      </c>
      <c r="AM76" s="52">
        <v>339.6</v>
      </c>
      <c r="AN76" s="52"/>
      <c r="AO76" s="52"/>
      <c r="AP76" s="52"/>
      <c r="AQ76" s="52"/>
      <c r="AR76" s="52"/>
      <c r="AS76" s="52"/>
      <c r="AT76" s="18"/>
      <c r="AU76" s="18"/>
      <c r="AV76" s="87"/>
      <c r="AW76" s="87"/>
      <c r="AX76" s="86" t="s">
        <v>434</v>
      </c>
      <c r="AY76" s="87"/>
      <c r="AZ76" s="87"/>
      <c r="BA76" s="87"/>
      <c r="BB76" s="160"/>
    </row>
    <row r="77" spans="1:54" ht="25.5" customHeight="1" x14ac:dyDescent="0.2">
      <c r="A77" s="46" t="s">
        <v>369</v>
      </c>
      <c r="B77" s="55"/>
      <c r="C77" s="46"/>
      <c r="D77" s="46"/>
      <c r="E77" s="38" t="s">
        <v>332</v>
      </c>
      <c r="F77" s="47">
        <v>8.9</v>
      </c>
      <c r="G77" s="47" t="s">
        <v>364</v>
      </c>
      <c r="H77" s="38">
        <v>9.1</v>
      </c>
      <c r="I77" s="94">
        <f t="shared" si="27"/>
        <v>29.855643044619423</v>
      </c>
      <c r="J77" s="94">
        <v>11.4</v>
      </c>
      <c r="K77" s="17">
        <f t="shared" si="30"/>
        <v>666.01760021597158</v>
      </c>
      <c r="L77" s="18">
        <f t="shared" si="31"/>
        <v>25.468238911718515</v>
      </c>
      <c r="M77" s="18">
        <f t="shared" si="32"/>
        <v>32.651588348357073</v>
      </c>
      <c r="N77" s="19">
        <f t="shared" si="23"/>
        <v>-23.751588348357075</v>
      </c>
      <c r="O77" s="83">
        <f t="shared" si="33"/>
        <v>8.9</v>
      </c>
      <c r="P77" s="61" t="s">
        <v>384</v>
      </c>
      <c r="Q77" s="61">
        <v>1293</v>
      </c>
      <c r="R77" s="79">
        <f>1/93</f>
        <v>1.0752688172043012E-2</v>
      </c>
      <c r="S77" s="53">
        <f t="shared" si="34"/>
        <v>92.999999999999986</v>
      </c>
      <c r="T77" s="54">
        <f t="shared" si="35"/>
        <v>6.8832173240525908E-3</v>
      </c>
      <c r="U77" s="53">
        <f t="shared" si="36"/>
        <v>145.28089887640451</v>
      </c>
      <c r="V77" s="54">
        <v>3.6</v>
      </c>
      <c r="W77" s="55"/>
      <c r="X77" s="83">
        <f t="shared" si="37"/>
        <v>12.5</v>
      </c>
      <c r="Y77" s="46">
        <v>13</v>
      </c>
      <c r="Z77" s="78" t="s">
        <v>80</v>
      </c>
      <c r="AA77" s="108" t="str">
        <f t="shared" si="29"/>
        <v>YES</v>
      </c>
      <c r="AB77" s="85" t="s">
        <v>94</v>
      </c>
      <c r="AC77" s="48" t="s">
        <v>86</v>
      </c>
      <c r="AD77" s="45">
        <f t="shared" si="28"/>
        <v>21.9</v>
      </c>
      <c r="AE77" s="55"/>
      <c r="AF77" s="46"/>
      <c r="AG77" s="54">
        <v>16.5</v>
      </c>
      <c r="AH77" s="78" t="s">
        <v>80</v>
      </c>
      <c r="AI77" s="78" t="s">
        <v>94</v>
      </c>
      <c r="AJ77" s="83">
        <f>8.9-5.41</f>
        <v>3.49</v>
      </c>
      <c r="AK77" s="83">
        <v>9.0399999999999991</v>
      </c>
      <c r="AL77" s="83">
        <v>1274</v>
      </c>
      <c r="AM77" s="83">
        <v>1288.5610332049775</v>
      </c>
      <c r="AN77" s="83">
        <v>1291.1394708069101</v>
      </c>
      <c r="AO77" s="83">
        <v>9.1294708069101489</v>
      </c>
      <c r="AP77" s="83"/>
      <c r="AQ77" s="52"/>
      <c r="AR77" s="52"/>
      <c r="AS77" s="52"/>
      <c r="AT77" s="18"/>
      <c r="AU77" s="86" t="s">
        <v>454</v>
      </c>
      <c r="AV77" s="87"/>
      <c r="AW77" s="87"/>
      <c r="AX77" s="86" t="s">
        <v>93</v>
      </c>
      <c r="AY77" s="87"/>
      <c r="AZ77" s="87"/>
      <c r="BA77" s="87"/>
      <c r="BB77" s="129"/>
    </row>
    <row r="78" spans="1:54" ht="102" customHeight="1" x14ac:dyDescent="0.2">
      <c r="A78" s="17" t="s">
        <v>264</v>
      </c>
      <c r="B78" s="37"/>
      <c r="C78" s="17"/>
      <c r="D78" s="17"/>
      <c r="E78" s="18" t="s">
        <v>234</v>
      </c>
      <c r="F78" s="38">
        <v>8.9</v>
      </c>
      <c r="G78" s="38" t="s">
        <v>364</v>
      </c>
      <c r="H78" s="38">
        <v>9.1</v>
      </c>
      <c r="I78" s="94">
        <f t="shared" si="27"/>
        <v>29.855643044619423</v>
      </c>
      <c r="J78" s="16">
        <v>11.4</v>
      </c>
      <c r="K78" s="17">
        <f t="shared" si="30"/>
        <v>666.01760021597158</v>
      </c>
      <c r="L78" s="18">
        <f t="shared" si="31"/>
        <v>25.468238911718515</v>
      </c>
      <c r="M78" s="18">
        <f t="shared" si="32"/>
        <v>32.651588348357073</v>
      </c>
      <c r="N78" s="19">
        <f t="shared" si="23"/>
        <v>-23.751588348357075</v>
      </c>
      <c r="O78" s="83">
        <f t="shared" si="33"/>
        <v>8.9</v>
      </c>
      <c r="P78" s="61" t="s">
        <v>384</v>
      </c>
      <c r="Q78" s="61">
        <v>281</v>
      </c>
      <c r="R78" s="79">
        <f>1/57</f>
        <v>1.7543859649122806E-2</v>
      </c>
      <c r="S78" s="39">
        <f t="shared" si="34"/>
        <v>57</v>
      </c>
      <c r="T78" s="19">
        <f t="shared" si="35"/>
        <v>3.1672597864768684E-2</v>
      </c>
      <c r="U78" s="39">
        <f t="shared" si="36"/>
        <v>31.573033707865168</v>
      </c>
      <c r="V78" s="40">
        <v>3.964</v>
      </c>
      <c r="W78" s="41"/>
      <c r="X78" s="83">
        <f t="shared" si="37"/>
        <v>12.864000000000001</v>
      </c>
      <c r="Y78" s="16">
        <v>9.4700000000000006</v>
      </c>
      <c r="Z78" s="101" t="s">
        <v>92</v>
      </c>
      <c r="AA78" s="16" t="str">
        <f t="shared" si="29"/>
        <v>YES</v>
      </c>
      <c r="AB78" s="100" t="s">
        <v>93</v>
      </c>
      <c r="AC78" s="44"/>
      <c r="AD78" s="45">
        <f t="shared" si="28"/>
        <v>18.37</v>
      </c>
      <c r="AE78" s="45"/>
      <c r="AF78" s="16"/>
      <c r="AG78" s="40"/>
      <c r="AH78" s="42"/>
      <c r="AI78" s="42"/>
      <c r="AJ78" s="239">
        <v>5.2</v>
      </c>
      <c r="AK78" s="239">
        <v>11.8</v>
      </c>
      <c r="AL78" s="239">
        <v>192</v>
      </c>
      <c r="AM78" s="239">
        <v>466.2</v>
      </c>
      <c r="AN78" s="239"/>
      <c r="AO78" s="18"/>
      <c r="AP78" s="18"/>
      <c r="AQ78" s="83"/>
      <c r="AR78" s="83"/>
      <c r="AS78" s="83"/>
      <c r="AT78" s="44"/>
      <c r="AU78" s="44"/>
      <c r="AV78" s="129"/>
      <c r="AW78" s="88"/>
      <c r="AX78" s="196" t="s">
        <v>434</v>
      </c>
      <c r="AY78" s="186"/>
      <c r="AZ78" s="186"/>
      <c r="BA78" s="186"/>
      <c r="BB78" s="129"/>
    </row>
    <row r="79" spans="1:54" ht="114.75" customHeight="1" x14ac:dyDescent="0.2">
      <c r="A79" s="17" t="s">
        <v>263</v>
      </c>
      <c r="B79" s="37"/>
      <c r="C79" s="17"/>
      <c r="D79" s="17"/>
      <c r="E79" s="18" t="s">
        <v>233</v>
      </c>
      <c r="F79" s="38">
        <v>8.9</v>
      </c>
      <c r="G79" s="38" t="s">
        <v>364</v>
      </c>
      <c r="H79" s="38">
        <v>9.1</v>
      </c>
      <c r="I79" s="94">
        <f t="shared" si="27"/>
        <v>29.855643044619423</v>
      </c>
      <c r="J79" s="16">
        <v>11.4</v>
      </c>
      <c r="K79" s="17">
        <f t="shared" si="30"/>
        <v>666.01760021597158</v>
      </c>
      <c r="L79" s="18">
        <f t="shared" si="31"/>
        <v>25.468238911718515</v>
      </c>
      <c r="M79" s="18">
        <f t="shared" si="32"/>
        <v>32.651588348357073</v>
      </c>
      <c r="N79" s="19">
        <f t="shared" si="23"/>
        <v>-23.751588348357075</v>
      </c>
      <c r="O79" s="83">
        <f t="shared" si="33"/>
        <v>8.9</v>
      </c>
      <c r="P79" s="61" t="s">
        <v>384</v>
      </c>
      <c r="Q79" s="61">
        <v>279</v>
      </c>
      <c r="R79" s="79">
        <f>1/58</f>
        <v>1.7241379310344827E-2</v>
      </c>
      <c r="S79" s="39">
        <f t="shared" si="34"/>
        <v>58</v>
      </c>
      <c r="T79" s="19">
        <f t="shared" si="35"/>
        <v>3.1899641577060933E-2</v>
      </c>
      <c r="U79" s="39">
        <f t="shared" si="36"/>
        <v>31.348314606741571</v>
      </c>
      <c r="V79" s="40">
        <v>3.95</v>
      </c>
      <c r="W79" s="41"/>
      <c r="X79" s="83">
        <f t="shared" si="37"/>
        <v>12.850000000000001</v>
      </c>
      <c r="Y79" s="16">
        <v>9.36</v>
      </c>
      <c r="Z79" s="101" t="s">
        <v>92</v>
      </c>
      <c r="AA79" s="16" t="str">
        <f t="shared" si="29"/>
        <v>YES</v>
      </c>
      <c r="AB79" s="100" t="s">
        <v>93</v>
      </c>
      <c r="AC79" s="44"/>
      <c r="AD79" s="45">
        <f t="shared" si="28"/>
        <v>18.259999999999998</v>
      </c>
      <c r="AE79" s="45"/>
      <c r="AF79" s="16"/>
      <c r="AG79" s="40"/>
      <c r="AH79" s="42"/>
      <c r="AI79" s="42"/>
      <c r="AJ79" s="18">
        <v>4.8</v>
      </c>
      <c r="AK79" s="18">
        <v>11.9</v>
      </c>
      <c r="AL79" s="239">
        <v>200</v>
      </c>
      <c r="AM79" s="239">
        <v>456.4</v>
      </c>
      <c r="AN79" s="239"/>
      <c r="AO79" s="18"/>
      <c r="AP79" s="18"/>
      <c r="AQ79" s="83"/>
      <c r="AR79" s="83"/>
      <c r="AS79" s="83"/>
      <c r="AT79" s="43"/>
      <c r="AU79" s="44"/>
      <c r="AV79" s="129"/>
      <c r="AW79" s="88"/>
      <c r="AX79" s="196" t="s">
        <v>434</v>
      </c>
      <c r="AY79" s="186"/>
      <c r="AZ79" s="186"/>
      <c r="BA79" s="197"/>
      <c r="BB79" s="129"/>
    </row>
    <row r="80" spans="1:54" ht="25.5" customHeight="1" x14ac:dyDescent="0.2">
      <c r="A80" s="17" t="s">
        <v>262</v>
      </c>
      <c r="B80" s="37"/>
      <c r="C80" s="17"/>
      <c r="D80" s="17"/>
      <c r="E80" s="18" t="s">
        <v>232</v>
      </c>
      <c r="F80" s="38">
        <v>8.9</v>
      </c>
      <c r="G80" s="38" t="s">
        <v>364</v>
      </c>
      <c r="H80" s="38">
        <v>9.1</v>
      </c>
      <c r="I80" s="94">
        <f t="shared" si="27"/>
        <v>29.855643044619423</v>
      </c>
      <c r="J80" s="16">
        <v>11.4</v>
      </c>
      <c r="K80" s="17">
        <f t="shared" si="30"/>
        <v>666.01760021597158</v>
      </c>
      <c r="L80" s="18">
        <f t="shared" si="31"/>
        <v>25.468238911718515</v>
      </c>
      <c r="M80" s="18">
        <f t="shared" si="32"/>
        <v>32.651588348357073</v>
      </c>
      <c r="N80" s="19">
        <f t="shared" si="23"/>
        <v>-23.751588348357075</v>
      </c>
      <c r="O80" s="83">
        <f t="shared" si="33"/>
        <v>8.9</v>
      </c>
      <c r="P80" s="61" t="s">
        <v>384</v>
      </c>
      <c r="Q80" s="61">
        <v>342</v>
      </c>
      <c r="R80" s="79">
        <f>1/67</f>
        <v>1.4925373134328358E-2</v>
      </c>
      <c r="S80" s="39">
        <f t="shared" si="34"/>
        <v>67</v>
      </c>
      <c r="T80" s="19">
        <f t="shared" si="35"/>
        <v>2.6023391812865497E-2</v>
      </c>
      <c r="U80" s="39">
        <f t="shared" si="36"/>
        <v>38.426966292134829</v>
      </c>
      <c r="V80" s="40">
        <v>3.8</v>
      </c>
      <c r="W80" s="41">
        <v>4.5</v>
      </c>
      <c r="X80" s="83">
        <f t="shared" si="37"/>
        <v>13.4</v>
      </c>
      <c r="Y80" s="16">
        <v>10.5</v>
      </c>
      <c r="Z80" s="101" t="s">
        <v>90</v>
      </c>
      <c r="AA80" s="16" t="str">
        <f t="shared" si="29"/>
        <v>YES</v>
      </c>
      <c r="AB80" s="100" t="s">
        <v>94</v>
      </c>
      <c r="AC80" s="44"/>
      <c r="AD80" s="45">
        <f t="shared" si="28"/>
        <v>19.399999999999999</v>
      </c>
      <c r="AE80" s="45"/>
      <c r="AF80" s="16">
        <v>4.5999999999999996</v>
      </c>
      <c r="AG80" s="40">
        <v>4.7519999999999998</v>
      </c>
      <c r="AH80" s="102" t="s">
        <v>90</v>
      </c>
      <c r="AI80" s="101" t="str">
        <f>IF(AG80+F80&gt;AO80,"YES","NO")</f>
        <v>YES</v>
      </c>
      <c r="AJ80" s="18">
        <f>8.9-1.49</f>
        <v>7.41</v>
      </c>
      <c r="AK80" s="18">
        <v>13.16</v>
      </c>
      <c r="AL80" s="239">
        <v>335</v>
      </c>
      <c r="AM80" s="239">
        <v>350.31006404293316</v>
      </c>
      <c r="AN80" s="239">
        <v>403</v>
      </c>
      <c r="AO80" s="18">
        <v>13.02</v>
      </c>
      <c r="AP80" s="18"/>
      <c r="AQ80" s="83"/>
      <c r="AR80" s="83"/>
      <c r="AS80" s="83"/>
      <c r="AT80" s="43"/>
      <c r="AU80" s="44"/>
      <c r="AV80" s="129"/>
      <c r="AW80" s="88"/>
      <c r="AX80" s="196" t="s">
        <v>93</v>
      </c>
      <c r="AY80" s="186"/>
      <c r="AZ80" s="186"/>
      <c r="BA80" s="197"/>
      <c r="BB80" s="129"/>
    </row>
    <row r="81" spans="1:54" ht="102" customHeight="1" x14ac:dyDescent="0.2">
      <c r="A81" s="17" t="s">
        <v>261</v>
      </c>
      <c r="B81" s="37"/>
      <c r="C81" s="17"/>
      <c r="D81" s="17"/>
      <c r="E81" s="18" t="s">
        <v>231</v>
      </c>
      <c r="F81" s="38">
        <v>8.9</v>
      </c>
      <c r="G81" s="38" t="s">
        <v>364</v>
      </c>
      <c r="H81" s="38">
        <v>9.1</v>
      </c>
      <c r="I81" s="94">
        <f t="shared" si="27"/>
        <v>29.855643044619423</v>
      </c>
      <c r="J81" s="16">
        <v>11.4</v>
      </c>
      <c r="K81" s="17">
        <f t="shared" si="30"/>
        <v>666.01760021597158</v>
      </c>
      <c r="L81" s="18">
        <f t="shared" si="31"/>
        <v>25.468238911718515</v>
      </c>
      <c r="M81" s="18">
        <f t="shared" si="32"/>
        <v>32.651588348357073</v>
      </c>
      <c r="N81" s="19">
        <f t="shared" si="23"/>
        <v>-23.751588348357075</v>
      </c>
      <c r="O81" s="83">
        <f t="shared" si="33"/>
        <v>8.9</v>
      </c>
      <c r="P81" s="61" t="s">
        <v>384</v>
      </c>
      <c r="Q81" s="61">
        <v>1136</v>
      </c>
      <c r="R81" s="79">
        <f>1/105</f>
        <v>9.5238095238095247E-3</v>
      </c>
      <c r="S81" s="39">
        <f t="shared" si="34"/>
        <v>104.99999999999999</v>
      </c>
      <c r="T81" s="19">
        <f t="shared" si="35"/>
        <v>7.8345070422535211E-3</v>
      </c>
      <c r="U81" s="39">
        <f t="shared" si="36"/>
        <v>127.64044943820225</v>
      </c>
      <c r="V81" s="40">
        <v>3.5</v>
      </c>
      <c r="W81" s="41">
        <v>4.4000000000000004</v>
      </c>
      <c r="X81" s="83">
        <f t="shared" si="37"/>
        <v>13.3</v>
      </c>
      <c r="Y81" s="16">
        <v>38.299999999999997</v>
      </c>
      <c r="Z81" s="69" t="s">
        <v>91</v>
      </c>
      <c r="AA81" s="107" t="str">
        <f t="shared" si="29"/>
        <v>YES</v>
      </c>
      <c r="AB81" s="71" t="s">
        <v>94</v>
      </c>
      <c r="AC81" s="72" t="s">
        <v>396</v>
      </c>
      <c r="AD81" s="45">
        <f t="shared" si="28"/>
        <v>47.199999999999996</v>
      </c>
      <c r="AE81" s="45"/>
      <c r="AF81" s="16">
        <v>5.0999999999999996</v>
      </c>
      <c r="AG81" s="40">
        <v>14.1</v>
      </c>
      <c r="AH81" s="69" t="s">
        <v>80</v>
      </c>
      <c r="AI81" s="69" t="str">
        <f>IF(AG81+F81&gt;AO81,"YES","NO")</f>
        <v>YES</v>
      </c>
      <c r="AJ81" s="18">
        <f>8.9-4.98</f>
        <v>3.92</v>
      </c>
      <c r="AK81" s="18">
        <v>16.75</v>
      </c>
      <c r="AL81" s="239">
        <v>1116</v>
      </c>
      <c r="AM81" s="239">
        <v>1141.4827791503633</v>
      </c>
      <c r="AN81" s="239">
        <v>1132</v>
      </c>
      <c r="AO81" s="18">
        <f>16.66</f>
        <v>16.66</v>
      </c>
      <c r="AP81" s="18"/>
      <c r="AQ81" s="83"/>
      <c r="AR81" s="83"/>
      <c r="AS81" s="83"/>
      <c r="AT81" s="43"/>
      <c r="AU81" s="44"/>
      <c r="AV81" s="129"/>
      <c r="AW81" s="88"/>
      <c r="AX81" s="196" t="s">
        <v>93</v>
      </c>
      <c r="AY81" s="186"/>
      <c r="AZ81" s="186"/>
      <c r="BA81" s="197"/>
      <c r="BB81" s="129"/>
    </row>
    <row r="82" spans="1:54" ht="12.75" customHeight="1" x14ac:dyDescent="0.2">
      <c r="A82" s="17" t="s">
        <v>260</v>
      </c>
      <c r="B82" s="37"/>
      <c r="C82" s="17"/>
      <c r="D82" s="17"/>
      <c r="E82" s="38" t="s">
        <v>230</v>
      </c>
      <c r="F82" s="38">
        <v>8.9</v>
      </c>
      <c r="G82" s="38" t="s">
        <v>364</v>
      </c>
      <c r="H82" s="38">
        <v>9.1</v>
      </c>
      <c r="I82" s="94">
        <f t="shared" si="27"/>
        <v>29.855643044619423</v>
      </c>
      <c r="J82" s="16">
        <v>11.4</v>
      </c>
      <c r="K82" s="17">
        <f t="shared" si="30"/>
        <v>666.01760021597158</v>
      </c>
      <c r="L82" s="18">
        <f t="shared" si="31"/>
        <v>25.468238911718515</v>
      </c>
      <c r="M82" s="18">
        <f t="shared" si="32"/>
        <v>32.651588348357073</v>
      </c>
      <c r="N82" s="19">
        <f t="shared" si="23"/>
        <v>-23.751588348357075</v>
      </c>
      <c r="O82" s="83">
        <f t="shared" si="33"/>
        <v>8.9</v>
      </c>
      <c r="P82" s="61" t="s">
        <v>384</v>
      </c>
      <c r="Q82" s="61">
        <v>41</v>
      </c>
      <c r="R82" s="79">
        <f>1/39</f>
        <v>2.564102564102564E-2</v>
      </c>
      <c r="S82" s="39">
        <f t="shared" si="34"/>
        <v>39</v>
      </c>
      <c r="T82" s="19">
        <f t="shared" si="35"/>
        <v>0.21707317073170732</v>
      </c>
      <c r="U82" s="39">
        <f t="shared" si="36"/>
        <v>4.606741573033708</v>
      </c>
      <c r="V82" s="40">
        <v>6</v>
      </c>
      <c r="W82" s="41"/>
      <c r="X82" s="83">
        <f t="shared" si="37"/>
        <v>14.9</v>
      </c>
      <c r="Y82" s="16">
        <v>23.2</v>
      </c>
      <c r="Z82" s="69" t="s">
        <v>80</v>
      </c>
      <c r="AA82" s="70" t="s">
        <v>94</v>
      </c>
      <c r="AB82" s="71" t="s">
        <v>93</v>
      </c>
      <c r="AC82" s="18"/>
      <c r="AD82" s="45">
        <f t="shared" si="28"/>
        <v>32.1</v>
      </c>
      <c r="AE82" s="45"/>
      <c r="AF82" s="16"/>
      <c r="AG82" s="40"/>
      <c r="AH82" s="42"/>
      <c r="AI82" s="42"/>
      <c r="AJ82" s="18">
        <f>8.9-8.91</f>
        <v>-9.9999999999997868E-3</v>
      </c>
      <c r="AK82" s="18">
        <v>18.100000000000001</v>
      </c>
      <c r="AL82" s="18">
        <v>0</v>
      </c>
      <c r="AM82" s="239">
        <v>59</v>
      </c>
      <c r="AN82" s="18"/>
      <c r="AO82" s="18"/>
      <c r="AP82" s="18"/>
      <c r="AQ82" s="83"/>
      <c r="AR82" s="83"/>
      <c r="AS82" s="83"/>
      <c r="AT82" s="43"/>
      <c r="AU82" s="44"/>
      <c r="AV82" s="129"/>
      <c r="AW82" s="129"/>
      <c r="AX82" s="196" t="s">
        <v>93</v>
      </c>
      <c r="AY82" s="186"/>
      <c r="AZ82" s="186"/>
      <c r="BA82" s="197"/>
      <c r="BB82" s="129"/>
    </row>
    <row r="83" spans="1:54" ht="12.75" customHeight="1" x14ac:dyDescent="0.2">
      <c r="A83" s="83" t="s">
        <v>259</v>
      </c>
      <c r="B83" s="37"/>
      <c r="C83" s="17"/>
      <c r="D83" s="17"/>
      <c r="E83" s="38" t="s">
        <v>229</v>
      </c>
      <c r="F83" s="38">
        <v>8.9</v>
      </c>
      <c r="G83" s="38" t="s">
        <v>364</v>
      </c>
      <c r="H83" s="38">
        <v>9.1</v>
      </c>
      <c r="I83" s="94">
        <f t="shared" si="27"/>
        <v>29.855643044619423</v>
      </c>
      <c r="J83" s="16">
        <v>11.4</v>
      </c>
      <c r="K83" s="17">
        <f t="shared" si="30"/>
        <v>666.01760021597158</v>
      </c>
      <c r="L83" s="18">
        <f t="shared" si="31"/>
        <v>25.468238911718515</v>
      </c>
      <c r="M83" s="18">
        <f t="shared" si="32"/>
        <v>32.651588348357073</v>
      </c>
      <c r="N83" s="19">
        <f t="shared" si="23"/>
        <v>-23.751588348357075</v>
      </c>
      <c r="O83" s="83">
        <f t="shared" si="33"/>
        <v>8.9</v>
      </c>
      <c r="P83" s="61" t="s">
        <v>384</v>
      </c>
      <c r="Q83" s="61">
        <v>87</v>
      </c>
      <c r="R83" s="79">
        <f>1/17</f>
        <v>5.8823529411764705E-2</v>
      </c>
      <c r="S83" s="39">
        <f t="shared" si="34"/>
        <v>17</v>
      </c>
      <c r="T83" s="19">
        <f t="shared" si="35"/>
        <v>0.10229885057471265</v>
      </c>
      <c r="U83" s="39">
        <f t="shared" si="36"/>
        <v>9.7752808988764048</v>
      </c>
      <c r="V83" s="40">
        <v>5.0999999999999996</v>
      </c>
      <c r="W83" s="41"/>
      <c r="X83" s="83">
        <f t="shared" si="37"/>
        <v>14</v>
      </c>
      <c r="Y83" s="16">
        <v>13.04</v>
      </c>
      <c r="Z83" s="106" t="s">
        <v>436</v>
      </c>
      <c r="AA83" s="16" t="str">
        <f>IF(AD83&gt;AK83,"YES","NO")</f>
        <v>YES</v>
      </c>
      <c r="AB83" s="71" t="s">
        <v>93</v>
      </c>
      <c r="AC83" s="18"/>
      <c r="AD83" s="45">
        <f t="shared" si="28"/>
        <v>21.939999999999998</v>
      </c>
      <c r="AE83" s="45"/>
      <c r="AF83" s="16"/>
      <c r="AG83" s="40"/>
      <c r="AH83" s="42"/>
      <c r="AI83" s="42"/>
      <c r="AJ83" s="18">
        <f>8.9-8.43</f>
        <v>0.47000000000000064</v>
      </c>
      <c r="AK83" s="18">
        <v>12.1</v>
      </c>
      <c r="AL83" s="239">
        <v>18</v>
      </c>
      <c r="AM83" s="239">
        <v>104</v>
      </c>
      <c r="AN83" s="18"/>
      <c r="AO83" s="18"/>
      <c r="AP83" s="18"/>
      <c r="AQ83" s="83"/>
      <c r="AR83" s="83"/>
      <c r="AS83" s="83"/>
      <c r="AT83" s="43"/>
      <c r="AU83" s="44"/>
      <c r="AV83" s="129"/>
      <c r="AW83" s="129"/>
      <c r="AX83" s="196" t="s">
        <v>93</v>
      </c>
      <c r="AY83" s="105" t="s">
        <v>455</v>
      </c>
      <c r="AZ83" s="186"/>
      <c r="BA83" s="197"/>
      <c r="BB83" s="129"/>
    </row>
    <row r="84" spans="1:54" ht="25.5" customHeight="1" x14ac:dyDescent="0.2">
      <c r="A84" s="83" t="s">
        <v>258</v>
      </c>
      <c r="B84" s="37"/>
      <c r="C84" s="17"/>
      <c r="D84" s="17"/>
      <c r="E84" s="38" t="s">
        <v>228</v>
      </c>
      <c r="F84" s="38">
        <v>8.9</v>
      </c>
      <c r="G84" s="38" t="s">
        <v>364</v>
      </c>
      <c r="H84" s="38">
        <v>9.1</v>
      </c>
      <c r="I84" s="94">
        <f t="shared" si="27"/>
        <v>29.855643044619423</v>
      </c>
      <c r="J84" s="16">
        <v>11.4</v>
      </c>
      <c r="K84" s="17">
        <f t="shared" si="30"/>
        <v>666.01760021597158</v>
      </c>
      <c r="L84" s="18">
        <f t="shared" si="31"/>
        <v>25.468238911718515</v>
      </c>
      <c r="M84" s="18">
        <f t="shared" si="32"/>
        <v>32.651588348357073</v>
      </c>
      <c r="N84" s="19">
        <f t="shared" si="23"/>
        <v>-23.751588348357075</v>
      </c>
      <c r="O84" s="83">
        <f t="shared" si="33"/>
        <v>8.9</v>
      </c>
      <c r="P84" s="61" t="s">
        <v>384</v>
      </c>
      <c r="Q84" s="61">
        <v>43</v>
      </c>
      <c r="R84" s="79">
        <f>1/27</f>
        <v>3.7037037037037035E-2</v>
      </c>
      <c r="S84" s="39">
        <f t="shared" si="34"/>
        <v>27</v>
      </c>
      <c r="T84" s="19">
        <f t="shared" si="35"/>
        <v>0.20697674418604653</v>
      </c>
      <c r="U84" s="39">
        <f t="shared" si="36"/>
        <v>4.8314606741573032</v>
      </c>
      <c r="V84" s="40">
        <v>4.5999999999999996</v>
      </c>
      <c r="W84" s="41">
        <v>5.4</v>
      </c>
      <c r="X84" s="83">
        <f t="shared" si="37"/>
        <v>14.3</v>
      </c>
      <c r="Y84" s="16">
        <v>11.9</v>
      </c>
      <c r="Z84" s="101" t="s">
        <v>90</v>
      </c>
      <c r="AA84" s="16" t="str">
        <f>IF(AD84&gt;AK84,"YES","NO")</f>
        <v>YES</v>
      </c>
      <c r="AB84" s="100" t="s">
        <v>94</v>
      </c>
      <c r="AC84" s="44"/>
      <c r="AD84" s="45">
        <f t="shared" si="28"/>
        <v>20.8</v>
      </c>
      <c r="AE84" s="45"/>
      <c r="AF84" s="16">
        <v>5.4</v>
      </c>
      <c r="AG84" s="40">
        <v>3.6859999999999999</v>
      </c>
      <c r="AH84" s="102" t="s">
        <v>90</v>
      </c>
      <c r="AI84" s="101" t="str">
        <f>IF(AG84+F84&gt;AO84,"YES","NO")</f>
        <v>NO</v>
      </c>
      <c r="AJ84" s="18">
        <f>8.9-2.54</f>
        <v>6.36</v>
      </c>
      <c r="AK84" s="18">
        <v>17.39</v>
      </c>
      <c r="AL84" s="239">
        <v>42</v>
      </c>
      <c r="AM84" s="239">
        <v>70</v>
      </c>
      <c r="AN84" s="242">
        <v>71</v>
      </c>
      <c r="AO84" s="18">
        <v>17.14</v>
      </c>
      <c r="AP84" s="18"/>
      <c r="AQ84" s="83"/>
      <c r="AR84" s="83"/>
      <c r="AS84" s="83"/>
      <c r="AT84" s="43"/>
      <c r="AU84" s="246" t="s">
        <v>478</v>
      </c>
      <c r="AV84" s="129"/>
      <c r="AW84" s="88"/>
      <c r="AX84" s="196" t="s">
        <v>93</v>
      </c>
      <c r="AY84" s="186"/>
      <c r="AZ84" s="186"/>
      <c r="BA84" s="197"/>
      <c r="BB84" s="129"/>
    </row>
    <row r="85" spans="1:54" ht="25.5" customHeight="1" x14ac:dyDescent="0.2">
      <c r="A85" s="83" t="s">
        <v>257</v>
      </c>
      <c r="B85" s="37"/>
      <c r="C85" s="17"/>
      <c r="D85" s="17"/>
      <c r="E85" s="38" t="s">
        <v>227</v>
      </c>
      <c r="F85" s="38">
        <v>8.9</v>
      </c>
      <c r="G85" s="38" t="s">
        <v>364</v>
      </c>
      <c r="H85" s="38">
        <v>9.1</v>
      </c>
      <c r="I85" s="94">
        <f t="shared" si="27"/>
        <v>29.855643044619423</v>
      </c>
      <c r="J85" s="16">
        <v>11.4</v>
      </c>
      <c r="K85" s="17">
        <f t="shared" si="30"/>
        <v>666.01760021597158</v>
      </c>
      <c r="L85" s="18">
        <f t="shared" si="31"/>
        <v>25.468238911718515</v>
      </c>
      <c r="M85" s="18">
        <f t="shared" si="32"/>
        <v>32.651588348357073</v>
      </c>
      <c r="N85" s="19">
        <f t="shared" ref="N85:N145" si="38">O85-M85</f>
        <v>-23.751588348357075</v>
      </c>
      <c r="O85" s="83">
        <f t="shared" si="33"/>
        <v>8.9</v>
      </c>
      <c r="P85" s="61" t="s">
        <v>384</v>
      </c>
      <c r="Q85" s="61">
        <v>79</v>
      </c>
      <c r="R85" s="79">
        <f>1/12</f>
        <v>8.3333333333333329E-2</v>
      </c>
      <c r="S85" s="39">
        <f t="shared" si="34"/>
        <v>12</v>
      </c>
      <c r="T85" s="19">
        <f t="shared" si="35"/>
        <v>0.11265822784810127</v>
      </c>
      <c r="U85" s="39">
        <f t="shared" si="36"/>
        <v>8.8764044943820224</v>
      </c>
      <c r="V85" s="40">
        <v>5.41</v>
      </c>
      <c r="W85" s="41">
        <v>6.2</v>
      </c>
      <c r="X85" s="83">
        <f t="shared" si="37"/>
        <v>15.100000000000001</v>
      </c>
      <c r="Y85" s="16">
        <v>10.16</v>
      </c>
      <c r="Z85" s="101" t="s">
        <v>90</v>
      </c>
      <c r="AA85" s="16" t="str">
        <f>IF(AD85&gt;AK85,"YES","NO")</f>
        <v>NO</v>
      </c>
      <c r="AB85" s="71" t="s">
        <v>94</v>
      </c>
      <c r="AC85" s="72" t="s">
        <v>437</v>
      </c>
      <c r="AD85" s="45">
        <f t="shared" si="28"/>
        <v>19.060000000000002</v>
      </c>
      <c r="AE85" s="45"/>
      <c r="AF85" s="16"/>
      <c r="AG85" s="40"/>
      <c r="AH85" s="42"/>
      <c r="AI85" s="42"/>
      <c r="AJ85" s="18">
        <v>0</v>
      </c>
      <c r="AK85" s="18">
        <v>20.6</v>
      </c>
      <c r="AL85" s="239">
        <v>0</v>
      </c>
      <c r="AM85" s="239">
        <v>141</v>
      </c>
      <c r="AN85" s="18"/>
      <c r="AO85" s="18"/>
      <c r="AP85" s="18"/>
      <c r="AQ85" s="83"/>
      <c r="AR85" s="83"/>
      <c r="AS85" s="83"/>
      <c r="AT85" s="43"/>
      <c r="AU85" s="88" t="s">
        <v>454</v>
      </c>
      <c r="AV85" s="129"/>
      <c r="AW85" s="129"/>
      <c r="AX85" s="196" t="s">
        <v>93</v>
      </c>
      <c r="AY85" s="186"/>
      <c r="AZ85" s="186"/>
      <c r="BA85" s="197"/>
      <c r="BB85" s="129"/>
    </row>
    <row r="86" spans="1:54" ht="25.5" customHeight="1" x14ac:dyDescent="0.2">
      <c r="A86" s="83" t="s">
        <v>256</v>
      </c>
      <c r="B86" s="37"/>
      <c r="C86" s="17"/>
      <c r="D86" s="17"/>
      <c r="E86" s="38" t="s">
        <v>226</v>
      </c>
      <c r="F86" s="38">
        <v>8.9</v>
      </c>
      <c r="G86" s="38" t="s">
        <v>364</v>
      </c>
      <c r="H86" s="38">
        <v>9.1</v>
      </c>
      <c r="I86" s="94">
        <f t="shared" si="27"/>
        <v>29.855643044619423</v>
      </c>
      <c r="J86" s="16">
        <v>11.4</v>
      </c>
      <c r="K86" s="17">
        <f t="shared" si="30"/>
        <v>666.01760021597158</v>
      </c>
      <c r="L86" s="18">
        <f t="shared" si="31"/>
        <v>25.468238911718515</v>
      </c>
      <c r="M86" s="18">
        <f t="shared" si="32"/>
        <v>32.651588348357073</v>
      </c>
      <c r="N86" s="19">
        <f t="shared" si="38"/>
        <v>-23.751588348357075</v>
      </c>
      <c r="O86" s="83">
        <f t="shared" si="33"/>
        <v>8.9</v>
      </c>
      <c r="P86" s="61" t="s">
        <v>384</v>
      </c>
      <c r="Q86" s="61">
        <v>73</v>
      </c>
      <c r="R86" s="79">
        <f>1/7</f>
        <v>0.14285714285714285</v>
      </c>
      <c r="S86" s="39">
        <f t="shared" si="34"/>
        <v>7</v>
      </c>
      <c r="T86" s="19">
        <f t="shared" si="35"/>
        <v>0.12191780821917808</v>
      </c>
      <c r="U86" s="39">
        <f t="shared" si="36"/>
        <v>8.2022471910112369</v>
      </c>
      <c r="V86" s="40">
        <v>6</v>
      </c>
      <c r="W86" s="41">
        <v>7.33</v>
      </c>
      <c r="X86" s="83">
        <f t="shared" si="37"/>
        <v>16.23</v>
      </c>
      <c r="Y86" s="16">
        <v>22.09</v>
      </c>
      <c r="Z86" s="106" t="s">
        <v>436</v>
      </c>
      <c r="AA86" s="16" t="str">
        <f>IF(AD86&gt;AK86,"YES","NO")</f>
        <v>YES</v>
      </c>
      <c r="AB86" s="71" t="s">
        <v>93</v>
      </c>
      <c r="AC86" s="18"/>
      <c r="AD86" s="45">
        <f t="shared" si="28"/>
        <v>30.990000000000002</v>
      </c>
      <c r="AE86" s="45"/>
      <c r="AF86" s="16"/>
      <c r="AG86" s="40"/>
      <c r="AH86" s="42"/>
      <c r="AI86" s="42"/>
      <c r="AJ86" s="18">
        <f>8.9-8.93</f>
        <v>-2.9999999999999361E-2</v>
      </c>
      <c r="AK86" s="39">
        <v>23.79</v>
      </c>
      <c r="AL86" s="239">
        <v>-0.59</v>
      </c>
      <c r="AM86" s="239">
        <v>156</v>
      </c>
      <c r="AN86" s="18"/>
      <c r="AO86" s="18"/>
      <c r="AP86" s="18"/>
      <c r="AQ86" s="83"/>
      <c r="AR86" s="83"/>
      <c r="AS86" s="83"/>
      <c r="AT86" s="43"/>
      <c r="AU86" s="88" t="s">
        <v>454</v>
      </c>
      <c r="AV86" s="129"/>
      <c r="AW86" s="129"/>
      <c r="AX86" s="196" t="s">
        <v>93</v>
      </c>
      <c r="AY86" s="105" t="s">
        <v>455</v>
      </c>
      <c r="AZ86" s="186"/>
      <c r="BA86" s="197"/>
      <c r="BB86" s="129"/>
    </row>
    <row r="87" spans="1:54" ht="12.75" customHeight="1" x14ac:dyDescent="0.2">
      <c r="A87" s="52" t="s">
        <v>193</v>
      </c>
      <c r="B87" s="55"/>
      <c r="C87" s="46"/>
      <c r="D87" s="46"/>
      <c r="E87" s="46" t="s">
        <v>324</v>
      </c>
      <c r="F87" s="47">
        <v>8.9</v>
      </c>
      <c r="G87" s="47" t="s">
        <v>364</v>
      </c>
      <c r="H87" s="38">
        <v>9.1</v>
      </c>
      <c r="I87" s="16">
        <f t="shared" si="27"/>
        <v>29.855643044619423</v>
      </c>
      <c r="J87" s="16">
        <v>11.4</v>
      </c>
      <c r="K87" s="17">
        <f t="shared" si="30"/>
        <v>666.01760021597158</v>
      </c>
      <c r="L87" s="18">
        <f t="shared" si="31"/>
        <v>25.468238911718515</v>
      </c>
      <c r="M87" s="18">
        <f t="shared" si="32"/>
        <v>32.651588348357073</v>
      </c>
      <c r="N87" s="19">
        <f t="shared" si="38"/>
        <v>-23.751588348357075</v>
      </c>
      <c r="O87" s="83">
        <f t="shared" si="33"/>
        <v>8.9</v>
      </c>
      <c r="P87" s="52">
        <v>-6461.3</v>
      </c>
      <c r="Q87" s="52">
        <v>60.6</v>
      </c>
      <c r="R87" s="79">
        <f t="shared" ref="R87:R145" si="39">(O87-N87)/(Q87-P87)</f>
        <v>5.006453387564524E-3</v>
      </c>
      <c r="S87" s="53">
        <f t="shared" si="34"/>
        <v>199.74219723764716</v>
      </c>
      <c r="T87" s="54">
        <f t="shared" si="35"/>
        <v>0.14686468646864687</v>
      </c>
      <c r="U87" s="53">
        <f t="shared" si="36"/>
        <v>6.808988764044944</v>
      </c>
      <c r="V87" s="54">
        <v>3.08</v>
      </c>
      <c r="W87" s="55"/>
      <c r="X87" s="83">
        <f t="shared" si="37"/>
        <v>11.98</v>
      </c>
      <c r="Y87" s="46">
        <v>3.34</v>
      </c>
      <c r="Z87" s="121" t="s">
        <v>79</v>
      </c>
      <c r="AA87" s="128" t="s">
        <v>94</v>
      </c>
      <c r="AB87" s="122" t="s">
        <v>93</v>
      </c>
      <c r="AC87" s="52"/>
      <c r="AD87" s="55"/>
      <c r="AE87" s="55"/>
      <c r="AF87" s="170"/>
      <c r="AG87" s="171"/>
      <c r="AH87" s="172"/>
      <c r="AI87" s="172"/>
      <c r="AJ87" s="83">
        <v>7.7</v>
      </c>
      <c r="AK87" s="37">
        <v>10.256</v>
      </c>
      <c r="AL87" s="83">
        <v>58.713000000000001</v>
      </c>
      <c r="AM87" s="83">
        <v>62.640999999999998</v>
      </c>
      <c r="AN87" s="83"/>
      <c r="AO87" s="83"/>
      <c r="AP87" s="83"/>
      <c r="AQ87" s="52"/>
      <c r="AR87" s="52"/>
      <c r="AS87" s="52"/>
      <c r="AT87" s="51"/>
      <c r="AU87" s="18"/>
      <c r="AV87" s="87"/>
      <c r="AW87" s="87"/>
      <c r="AX87" s="87"/>
      <c r="AY87" s="87"/>
      <c r="AZ87" s="87"/>
      <c r="BA87" s="212"/>
      <c r="BB87" s="129" t="s">
        <v>365</v>
      </c>
    </row>
    <row r="88" spans="1:54" ht="38.25" customHeight="1" x14ac:dyDescent="0.2">
      <c r="A88" s="52" t="s">
        <v>193</v>
      </c>
      <c r="B88" s="55"/>
      <c r="C88" s="46"/>
      <c r="D88" s="46"/>
      <c r="E88" s="38" t="s">
        <v>325</v>
      </c>
      <c r="F88" s="47">
        <v>8.9</v>
      </c>
      <c r="G88" s="47" t="s">
        <v>364</v>
      </c>
      <c r="H88" s="38">
        <v>9.1</v>
      </c>
      <c r="I88" s="16">
        <f t="shared" si="27"/>
        <v>29.855643044619423</v>
      </c>
      <c r="J88" s="16">
        <v>11.4</v>
      </c>
      <c r="K88" s="17">
        <f t="shared" si="30"/>
        <v>666.01760021597158</v>
      </c>
      <c r="L88" s="18">
        <f t="shared" si="31"/>
        <v>25.468238911718515</v>
      </c>
      <c r="M88" s="18">
        <f t="shared" si="32"/>
        <v>32.651588348357073</v>
      </c>
      <c r="N88" s="19">
        <f t="shared" si="38"/>
        <v>-23.751588348357075</v>
      </c>
      <c r="O88" s="83">
        <f t="shared" si="33"/>
        <v>8.9</v>
      </c>
      <c r="P88" s="63">
        <v>-7372.62</v>
      </c>
      <c r="Q88" s="63">
        <v>21.86448</v>
      </c>
      <c r="R88" s="79">
        <f t="shared" si="39"/>
        <v>4.4156679801912405E-3</v>
      </c>
      <c r="S88" s="53">
        <f t="shared" si="34"/>
        <v>226.46630237735639</v>
      </c>
      <c r="T88" s="54">
        <f t="shared" si="35"/>
        <v>0.40705290041199244</v>
      </c>
      <c r="U88" s="53">
        <f t="shared" si="36"/>
        <v>2.4566831460674154</v>
      </c>
      <c r="V88" s="54">
        <v>3.01</v>
      </c>
      <c r="W88" s="55">
        <v>4.09</v>
      </c>
      <c r="X88" s="83">
        <f t="shared" si="37"/>
        <v>12.99</v>
      </c>
      <c r="Y88" s="46">
        <v>8.4499999999999993</v>
      </c>
      <c r="Z88" s="110" t="s">
        <v>80</v>
      </c>
      <c r="AA88" s="110" t="s">
        <v>94</v>
      </c>
      <c r="AB88" s="111" t="s">
        <v>94</v>
      </c>
      <c r="AC88" s="97" t="s">
        <v>114</v>
      </c>
      <c r="AD88" s="55"/>
      <c r="AE88" s="55">
        <v>4</v>
      </c>
      <c r="AF88" s="170">
        <v>4.5199999999999996</v>
      </c>
      <c r="AG88" s="171">
        <v>10.16</v>
      </c>
      <c r="AH88" s="173" t="s">
        <v>80</v>
      </c>
      <c r="AI88" s="173" t="s">
        <v>94</v>
      </c>
      <c r="AJ88" s="83">
        <v>2.1269999999999998</v>
      </c>
      <c r="AK88" s="37">
        <v>14.782</v>
      </c>
      <c r="AL88" s="83">
        <v>10.09</v>
      </c>
      <c r="AM88" s="37">
        <v>32.090000000000003</v>
      </c>
      <c r="AN88" s="83">
        <v>43.21</v>
      </c>
      <c r="AO88" s="83">
        <v>12.37</v>
      </c>
      <c r="AP88" s="83"/>
      <c r="AQ88" s="52"/>
      <c r="AR88" s="52"/>
      <c r="AS88" s="52"/>
      <c r="AT88" s="245" t="s">
        <v>477</v>
      </c>
      <c r="AU88" s="18"/>
      <c r="AV88" s="99" t="s">
        <v>114</v>
      </c>
      <c r="AW88" s="87"/>
      <c r="AX88" s="87"/>
      <c r="AY88" s="87"/>
      <c r="AZ88" s="87"/>
      <c r="BA88" s="212"/>
      <c r="BB88" s="129" t="s">
        <v>366</v>
      </c>
    </row>
    <row r="89" spans="1:54" ht="38.25" customHeight="1" x14ac:dyDescent="0.2">
      <c r="A89" s="52" t="s">
        <v>193</v>
      </c>
      <c r="B89" s="55"/>
      <c r="C89" s="46"/>
      <c r="D89" s="46"/>
      <c r="E89" s="38" t="s">
        <v>326</v>
      </c>
      <c r="F89" s="47">
        <v>8.9</v>
      </c>
      <c r="G89" s="47" t="s">
        <v>364</v>
      </c>
      <c r="H89" s="38">
        <v>9.1</v>
      </c>
      <c r="I89" s="16">
        <f t="shared" si="27"/>
        <v>29.855643044619423</v>
      </c>
      <c r="J89" s="16">
        <v>11.4</v>
      </c>
      <c r="K89" s="17">
        <f t="shared" si="30"/>
        <v>666.01760021597158</v>
      </c>
      <c r="L89" s="18">
        <f t="shared" si="31"/>
        <v>25.468238911718515</v>
      </c>
      <c r="M89" s="18">
        <f t="shared" si="32"/>
        <v>32.651588348357073</v>
      </c>
      <c r="N89" s="19">
        <f t="shared" si="38"/>
        <v>-23.751588348357075</v>
      </c>
      <c r="O89" s="83">
        <f t="shared" si="33"/>
        <v>8.9</v>
      </c>
      <c r="P89" s="63">
        <v>-4463.8900000000003</v>
      </c>
      <c r="Q89" s="63">
        <v>45.963999999999999</v>
      </c>
      <c r="R89" s="79">
        <f t="shared" si="39"/>
        <v>7.2400544115967108E-3</v>
      </c>
      <c r="S89" s="53">
        <f t="shared" si="34"/>
        <v>138.12050892853188</v>
      </c>
      <c r="T89" s="54">
        <f t="shared" si="35"/>
        <v>0.19362979723261683</v>
      </c>
      <c r="U89" s="53">
        <f t="shared" si="36"/>
        <v>5.1644943820224718</v>
      </c>
      <c r="V89" s="54">
        <v>3.32</v>
      </c>
      <c r="W89" s="55"/>
      <c r="X89" s="83">
        <f t="shared" si="37"/>
        <v>12.22</v>
      </c>
      <c r="Y89" s="46">
        <v>1.39</v>
      </c>
      <c r="Z89" s="227" t="s">
        <v>79</v>
      </c>
      <c r="AA89" s="128" t="s">
        <v>93</v>
      </c>
      <c r="AB89" s="122" t="s">
        <v>93</v>
      </c>
      <c r="AC89" s="52"/>
      <c r="AD89" s="55"/>
      <c r="AE89" s="55"/>
      <c r="AF89" s="170"/>
      <c r="AG89" s="171"/>
      <c r="AH89" s="172"/>
      <c r="AI89" s="172"/>
      <c r="AJ89" s="83" t="s">
        <v>346</v>
      </c>
      <c r="AK89" s="37" t="s">
        <v>346</v>
      </c>
      <c r="AL89" s="83" t="s">
        <v>346</v>
      </c>
      <c r="AM89" s="83" t="s">
        <v>346</v>
      </c>
      <c r="AN89" s="83"/>
      <c r="AO89" s="83"/>
      <c r="AP89" s="83"/>
      <c r="AQ89" s="52"/>
      <c r="AR89" s="52"/>
      <c r="AS89" s="52"/>
      <c r="AT89" s="51"/>
      <c r="AU89" s="18"/>
      <c r="AV89" s="193" t="s">
        <v>490</v>
      </c>
      <c r="AW89" s="87"/>
      <c r="AX89" s="194" t="s">
        <v>489</v>
      </c>
      <c r="AY89" s="87"/>
      <c r="AZ89" s="87"/>
      <c r="BA89" s="212"/>
      <c r="BB89" s="129"/>
    </row>
    <row r="90" spans="1:54" ht="51" customHeight="1" x14ac:dyDescent="0.2">
      <c r="A90" s="52" t="s">
        <v>193</v>
      </c>
      <c r="B90" s="55"/>
      <c r="C90" s="46"/>
      <c r="D90" s="46"/>
      <c r="E90" s="46" t="s">
        <v>327</v>
      </c>
      <c r="F90" s="47">
        <v>8.9</v>
      </c>
      <c r="G90" s="47" t="s">
        <v>364</v>
      </c>
      <c r="H90" s="38">
        <v>9.1</v>
      </c>
      <c r="I90" s="16">
        <f t="shared" si="27"/>
        <v>29.855643044619423</v>
      </c>
      <c r="J90" s="16">
        <v>11.4</v>
      </c>
      <c r="K90" s="17">
        <f t="shared" si="30"/>
        <v>666.01760021597158</v>
      </c>
      <c r="L90" s="18">
        <f t="shared" si="31"/>
        <v>25.468238911718515</v>
      </c>
      <c r="M90" s="18">
        <f t="shared" si="32"/>
        <v>32.651588348357073</v>
      </c>
      <c r="N90" s="19">
        <f t="shared" si="38"/>
        <v>-23.751588348357075</v>
      </c>
      <c r="O90" s="83">
        <f t="shared" si="33"/>
        <v>8.9</v>
      </c>
      <c r="P90" s="63">
        <v>-3926.05</v>
      </c>
      <c r="Q90" s="63">
        <v>19.98</v>
      </c>
      <c r="R90" s="79">
        <f t="shared" si="39"/>
        <v>8.27454133606614E-3</v>
      </c>
      <c r="S90" s="53">
        <f t="shared" si="34"/>
        <v>120.85262002877579</v>
      </c>
      <c r="T90" s="54">
        <f t="shared" si="35"/>
        <v>0.44544544544544545</v>
      </c>
      <c r="U90" s="53">
        <f t="shared" si="36"/>
        <v>2.2449438202247189</v>
      </c>
      <c r="V90" s="54">
        <v>3.41</v>
      </c>
      <c r="W90" s="55">
        <v>4.74</v>
      </c>
      <c r="X90" s="83">
        <f t="shared" si="37"/>
        <v>13.64</v>
      </c>
      <c r="Y90" s="46">
        <v>12.96</v>
      </c>
      <c r="Z90" s="123" t="s">
        <v>80</v>
      </c>
      <c r="AA90" s="123" t="s">
        <v>94</v>
      </c>
      <c r="AB90" s="122" t="s">
        <v>94</v>
      </c>
      <c r="AC90" s="121" t="s">
        <v>114</v>
      </c>
      <c r="AD90" s="55"/>
      <c r="AE90" s="55">
        <v>4</v>
      </c>
      <c r="AF90" s="170">
        <v>5.15</v>
      </c>
      <c r="AG90" s="171">
        <v>13.4</v>
      </c>
      <c r="AH90" s="174" t="s">
        <v>80</v>
      </c>
      <c r="AI90" s="174" t="s">
        <v>94</v>
      </c>
      <c r="AJ90" s="83">
        <v>0</v>
      </c>
      <c r="AK90" s="37">
        <v>15.53</v>
      </c>
      <c r="AL90" s="83">
        <v>0</v>
      </c>
      <c r="AM90" s="37">
        <v>36.409999999999997</v>
      </c>
      <c r="AN90" s="83">
        <v>46.56</v>
      </c>
      <c r="AO90" s="83">
        <v>13.06</v>
      </c>
      <c r="AP90" s="83"/>
      <c r="AQ90" s="52"/>
      <c r="AR90" s="52"/>
      <c r="AS90" s="52"/>
      <c r="AT90" s="51"/>
      <c r="AU90" s="18"/>
      <c r="AV90" s="194" t="s">
        <v>114</v>
      </c>
      <c r="AW90" s="194" t="s">
        <v>491</v>
      </c>
      <c r="AX90" s="87"/>
      <c r="AY90" s="87"/>
      <c r="AZ90" s="87"/>
      <c r="BA90" s="212"/>
      <c r="BB90" s="129" t="s">
        <v>366</v>
      </c>
    </row>
    <row r="91" spans="1:54" ht="25.5" customHeight="1" x14ac:dyDescent="0.2">
      <c r="A91" s="52" t="s">
        <v>193</v>
      </c>
      <c r="B91" s="55"/>
      <c r="C91" s="46"/>
      <c r="D91" s="46"/>
      <c r="E91" s="46" t="s">
        <v>328</v>
      </c>
      <c r="F91" s="47">
        <v>8.9</v>
      </c>
      <c r="G91" s="47" t="s">
        <v>364</v>
      </c>
      <c r="H91" s="38">
        <v>9.1</v>
      </c>
      <c r="I91" s="16">
        <f t="shared" si="27"/>
        <v>29.855643044619423</v>
      </c>
      <c r="J91" s="16">
        <v>11.4</v>
      </c>
      <c r="K91" s="17">
        <f t="shared" si="30"/>
        <v>666.01760021597158</v>
      </c>
      <c r="L91" s="18">
        <f t="shared" si="31"/>
        <v>25.468238911718515</v>
      </c>
      <c r="M91" s="18">
        <f t="shared" si="32"/>
        <v>32.651588348357073</v>
      </c>
      <c r="N91" s="19">
        <f t="shared" si="38"/>
        <v>-23.751588348357075</v>
      </c>
      <c r="O91" s="83">
        <f t="shared" si="33"/>
        <v>8.9</v>
      </c>
      <c r="P91" s="63">
        <v>-3570.94</v>
      </c>
      <c r="Q91" s="63">
        <v>67.97</v>
      </c>
      <c r="R91" s="79">
        <f t="shared" si="39"/>
        <v>8.9729035201082403E-3</v>
      </c>
      <c r="S91" s="53">
        <f t="shared" si="34"/>
        <v>111.44664575507851</v>
      </c>
      <c r="T91" s="54">
        <f t="shared" si="35"/>
        <v>0.13094012064145946</v>
      </c>
      <c r="U91" s="53">
        <f t="shared" si="36"/>
        <v>7.6370786516853935</v>
      </c>
      <c r="V91" s="54">
        <v>3.47</v>
      </c>
      <c r="W91" s="55"/>
      <c r="X91" s="83">
        <f t="shared" si="37"/>
        <v>12.370000000000001</v>
      </c>
      <c r="Y91" s="46">
        <v>1.23</v>
      </c>
      <c r="Z91" s="123" t="s">
        <v>79</v>
      </c>
      <c r="AA91" s="128" t="s">
        <v>93</v>
      </c>
      <c r="AB91" s="122" t="s">
        <v>93</v>
      </c>
      <c r="AC91" s="52"/>
      <c r="AD91" s="55"/>
      <c r="AE91" s="55"/>
      <c r="AF91" s="170"/>
      <c r="AG91" s="171"/>
      <c r="AH91" s="172"/>
      <c r="AI91" s="172"/>
      <c r="AJ91" s="83" t="s">
        <v>346</v>
      </c>
      <c r="AK91" s="37" t="s">
        <v>346</v>
      </c>
      <c r="AL91" s="83" t="s">
        <v>346</v>
      </c>
      <c r="AM91" s="37" t="s">
        <v>346</v>
      </c>
      <c r="AN91" s="83"/>
      <c r="AO91" s="83"/>
      <c r="AP91" s="83"/>
      <c r="AQ91" s="52"/>
      <c r="AR91" s="52"/>
      <c r="AS91" s="52"/>
      <c r="AT91" s="51"/>
      <c r="AU91" s="18"/>
      <c r="AV91" s="194" t="s">
        <v>82</v>
      </c>
      <c r="AW91" s="87"/>
      <c r="AX91" s="194" t="s">
        <v>489</v>
      </c>
      <c r="AY91" s="87"/>
      <c r="AZ91" s="87"/>
      <c r="BA91" s="212"/>
      <c r="BB91" s="129" t="s">
        <v>365</v>
      </c>
    </row>
    <row r="92" spans="1:54" ht="12.75" customHeight="1" x14ac:dyDescent="0.2">
      <c r="A92" s="52" t="s">
        <v>193</v>
      </c>
      <c r="B92" s="55"/>
      <c r="C92" s="46"/>
      <c r="D92" s="46"/>
      <c r="E92" s="38" t="s">
        <v>329</v>
      </c>
      <c r="F92" s="47">
        <v>8.9</v>
      </c>
      <c r="G92" s="47" t="s">
        <v>364</v>
      </c>
      <c r="H92" s="38">
        <v>9.1</v>
      </c>
      <c r="I92" s="16">
        <f t="shared" si="27"/>
        <v>29.855643044619423</v>
      </c>
      <c r="J92" s="16">
        <v>11.4</v>
      </c>
      <c r="K92" s="17">
        <f t="shared" si="30"/>
        <v>666.01760021597158</v>
      </c>
      <c r="L92" s="18">
        <f t="shared" si="31"/>
        <v>25.468238911718515</v>
      </c>
      <c r="M92" s="18">
        <f t="shared" si="32"/>
        <v>32.651588348357073</v>
      </c>
      <c r="N92" s="19">
        <f t="shared" si="38"/>
        <v>-23.751588348357075</v>
      </c>
      <c r="O92" s="83">
        <f t="shared" si="33"/>
        <v>8.9</v>
      </c>
      <c r="P92" s="63">
        <v>-4520.18</v>
      </c>
      <c r="Q92" s="63">
        <v>97.53</v>
      </c>
      <c r="R92" s="79">
        <f t="shared" si="39"/>
        <v>7.0709482293944562E-3</v>
      </c>
      <c r="S92" s="53">
        <f t="shared" si="34"/>
        <v>141.42374792717698</v>
      </c>
      <c r="T92" s="54">
        <f t="shared" si="35"/>
        <v>9.1253973136470837E-2</v>
      </c>
      <c r="U92" s="53">
        <f t="shared" si="36"/>
        <v>10.958426966292134</v>
      </c>
      <c r="V92" s="54">
        <v>3.31</v>
      </c>
      <c r="W92" s="55"/>
      <c r="X92" s="83">
        <f t="shared" si="37"/>
        <v>12.21</v>
      </c>
      <c r="Y92" s="46">
        <v>2.09</v>
      </c>
      <c r="Z92" s="123" t="s">
        <v>79</v>
      </c>
      <c r="AA92" s="128" t="s">
        <v>93</v>
      </c>
      <c r="AB92" s="122" t="s">
        <v>93</v>
      </c>
      <c r="AC92" s="52"/>
      <c r="AD92" s="55"/>
      <c r="AE92" s="55"/>
      <c r="AF92" s="170"/>
      <c r="AG92" s="171"/>
      <c r="AH92" s="172"/>
      <c r="AI92" s="172"/>
      <c r="AJ92" s="83" t="s">
        <v>346</v>
      </c>
      <c r="AK92" s="37" t="s">
        <v>346</v>
      </c>
      <c r="AL92" s="83" t="s">
        <v>346</v>
      </c>
      <c r="AM92" s="37" t="s">
        <v>346</v>
      </c>
      <c r="AN92" s="83"/>
      <c r="AO92" s="83"/>
      <c r="AP92" s="83"/>
      <c r="AQ92" s="52"/>
      <c r="AR92" s="52"/>
      <c r="AS92" s="52"/>
      <c r="AT92" s="51"/>
      <c r="AU92" s="18"/>
      <c r="AV92" s="194" t="s">
        <v>82</v>
      </c>
      <c r="AW92" s="87"/>
      <c r="AX92" s="194" t="s">
        <v>489</v>
      </c>
      <c r="AY92" s="87"/>
      <c r="AZ92" s="87"/>
      <c r="BA92" s="212"/>
      <c r="BB92" s="129" t="s">
        <v>365</v>
      </c>
    </row>
    <row r="93" spans="1:54" ht="12.75" customHeight="1" x14ac:dyDescent="0.2">
      <c r="A93" s="52" t="s">
        <v>193</v>
      </c>
      <c r="B93" s="55"/>
      <c r="C93" s="46"/>
      <c r="D93" s="46"/>
      <c r="E93" s="38" t="s">
        <v>330</v>
      </c>
      <c r="F93" s="47">
        <v>8.9</v>
      </c>
      <c r="G93" s="47" t="s">
        <v>364</v>
      </c>
      <c r="H93" s="38">
        <v>9.1</v>
      </c>
      <c r="I93" s="16">
        <f t="shared" si="27"/>
        <v>29.855643044619423</v>
      </c>
      <c r="J93" s="16">
        <v>11.4</v>
      </c>
      <c r="K93" s="17">
        <f t="shared" si="30"/>
        <v>666.01760021597158</v>
      </c>
      <c r="L93" s="18">
        <f t="shared" si="31"/>
        <v>25.468238911718515</v>
      </c>
      <c r="M93" s="18">
        <f t="shared" si="32"/>
        <v>32.651588348357073</v>
      </c>
      <c r="N93" s="19">
        <f t="shared" si="38"/>
        <v>-23.751588348357075</v>
      </c>
      <c r="O93" s="83">
        <f t="shared" si="33"/>
        <v>8.9</v>
      </c>
      <c r="P93" s="63">
        <v>-2735.03</v>
      </c>
      <c r="Q93" s="63">
        <v>80.38</v>
      </c>
      <c r="R93" s="79">
        <f t="shared" si="39"/>
        <v>1.1597454135758937E-2</v>
      </c>
      <c r="S93" s="53">
        <f t="shared" si="34"/>
        <v>86.225820623567401</v>
      </c>
      <c r="T93" s="54">
        <f t="shared" si="35"/>
        <v>0.11072406071161982</v>
      </c>
      <c r="U93" s="53">
        <f t="shared" si="36"/>
        <v>9.0314606741573016</v>
      </c>
      <c r="V93" s="54">
        <v>3.65</v>
      </c>
      <c r="W93" s="55"/>
      <c r="X93" s="83">
        <f t="shared" si="37"/>
        <v>12.55</v>
      </c>
      <c r="Y93" s="46">
        <v>2.5099999999999998</v>
      </c>
      <c r="Z93" s="123" t="s">
        <v>79</v>
      </c>
      <c r="AA93" s="128" t="s">
        <v>93</v>
      </c>
      <c r="AB93" s="122" t="s">
        <v>93</v>
      </c>
      <c r="AC93" s="52"/>
      <c r="AD93" s="55"/>
      <c r="AE93" s="55"/>
      <c r="AF93" s="170"/>
      <c r="AG93" s="171"/>
      <c r="AH93" s="172"/>
      <c r="AI93" s="172"/>
      <c r="AJ93" s="83" t="s">
        <v>346</v>
      </c>
      <c r="AK93" s="37" t="s">
        <v>346</v>
      </c>
      <c r="AL93" s="83" t="s">
        <v>346</v>
      </c>
      <c r="AM93" s="83" t="s">
        <v>346</v>
      </c>
      <c r="AN93" s="83"/>
      <c r="AO93" s="83"/>
      <c r="AP93" s="83"/>
      <c r="AQ93" s="52"/>
      <c r="AR93" s="52"/>
      <c r="AS93" s="52"/>
      <c r="AT93" s="51"/>
      <c r="AU93" s="18"/>
      <c r="AV93" s="194" t="s">
        <v>82</v>
      </c>
      <c r="AW93" s="87"/>
      <c r="AX93" s="194" t="s">
        <v>489</v>
      </c>
      <c r="AY93" s="87"/>
      <c r="AZ93" s="87"/>
      <c r="BA93" s="212"/>
      <c r="BB93" s="129"/>
    </row>
    <row r="94" spans="1:54" ht="12.75" customHeight="1" x14ac:dyDescent="0.2">
      <c r="A94" s="109" t="s">
        <v>193</v>
      </c>
      <c r="B94" s="55"/>
      <c r="C94" s="46"/>
      <c r="D94" s="54"/>
      <c r="E94" s="109" t="s">
        <v>331</v>
      </c>
      <c r="F94" s="187">
        <v>8.9</v>
      </c>
      <c r="G94" s="219" t="s">
        <v>364</v>
      </c>
      <c r="H94" s="51">
        <v>9.1</v>
      </c>
      <c r="I94" s="90">
        <f t="shared" si="27"/>
        <v>29.855643044619423</v>
      </c>
      <c r="J94" s="90">
        <v>11.4</v>
      </c>
      <c r="K94" s="36">
        <f t="shared" si="30"/>
        <v>666.01760021597158</v>
      </c>
      <c r="L94" s="89">
        <f t="shared" si="31"/>
        <v>25.468238911718515</v>
      </c>
      <c r="M94" s="89">
        <f t="shared" si="32"/>
        <v>32.651588348357073</v>
      </c>
      <c r="N94" s="36">
        <f t="shared" si="38"/>
        <v>-23.751588348357075</v>
      </c>
      <c r="O94" s="36">
        <f t="shared" si="33"/>
        <v>8.9</v>
      </c>
      <c r="P94" s="221">
        <v>-2443.6999999999998</v>
      </c>
      <c r="Q94" s="221">
        <v>82.36</v>
      </c>
      <c r="R94" s="163">
        <f t="shared" si="39"/>
        <v>1.2925895801507912E-2</v>
      </c>
      <c r="S94" s="162">
        <f t="shared" si="34"/>
        <v>77.364077148397087</v>
      </c>
      <c r="T94" s="109">
        <f t="shared" si="35"/>
        <v>0.10806216610004857</v>
      </c>
      <c r="U94" s="162">
        <f t="shared" si="36"/>
        <v>9.2539325842696627</v>
      </c>
      <c r="V94" s="109">
        <v>3.73</v>
      </c>
      <c r="W94" s="109"/>
      <c r="X94" s="83">
        <f t="shared" si="37"/>
        <v>12.63</v>
      </c>
      <c r="Y94" s="109">
        <v>4.2</v>
      </c>
      <c r="Z94" s="226" t="s">
        <v>79</v>
      </c>
      <c r="AA94" s="229" t="s">
        <v>94</v>
      </c>
      <c r="AB94" s="226" t="s">
        <v>93</v>
      </c>
      <c r="AC94" s="109"/>
      <c r="AD94" s="109"/>
      <c r="AE94" s="109"/>
      <c r="AF94" s="237"/>
      <c r="AG94" s="237"/>
      <c r="AH94" s="237"/>
      <c r="AI94" s="237"/>
      <c r="AJ94" s="36">
        <v>13.920999999999999</v>
      </c>
      <c r="AK94" s="36">
        <v>18.018000000000001</v>
      </c>
      <c r="AL94" s="36">
        <v>139.934</v>
      </c>
      <c r="AM94" s="36">
        <v>188.72399999999999</v>
      </c>
      <c r="AN94" s="36"/>
      <c r="AO94" s="36"/>
      <c r="AP94" s="36"/>
      <c r="AQ94" s="109"/>
      <c r="AR94" s="109"/>
      <c r="AS94" s="109"/>
      <c r="AT94" s="89"/>
      <c r="AU94" s="89"/>
      <c r="AV94" s="248" t="s">
        <v>82</v>
      </c>
      <c r="AW94" s="130"/>
      <c r="AX94" s="248" t="s">
        <v>489</v>
      </c>
      <c r="AY94" s="130"/>
      <c r="AZ94" s="130"/>
      <c r="BA94" s="130"/>
      <c r="BB94" s="126" t="s">
        <v>365</v>
      </c>
    </row>
    <row r="95" spans="1:54" ht="25.5" x14ac:dyDescent="0.25">
      <c r="A95" s="36" t="s">
        <v>194</v>
      </c>
      <c r="B95" s="37"/>
      <c r="C95" s="17"/>
      <c r="D95" s="19"/>
      <c r="E95" s="89" t="s">
        <v>235</v>
      </c>
      <c r="F95" s="89">
        <v>8.9</v>
      </c>
      <c r="G95" s="39" t="s">
        <v>364</v>
      </c>
      <c r="H95" s="51">
        <v>9.1</v>
      </c>
      <c r="I95" s="90">
        <f t="shared" si="27"/>
        <v>29.855643044619423</v>
      </c>
      <c r="J95" s="90">
        <v>11.4</v>
      </c>
      <c r="K95" s="36">
        <f t="shared" si="30"/>
        <v>666.01760021597158</v>
      </c>
      <c r="L95" s="89">
        <f t="shared" si="31"/>
        <v>25.468238911718515</v>
      </c>
      <c r="M95" s="89">
        <f t="shared" si="32"/>
        <v>32.651588348357073</v>
      </c>
      <c r="N95" s="36">
        <f t="shared" si="38"/>
        <v>-23.751588348357075</v>
      </c>
      <c r="O95" s="36">
        <f t="shared" si="33"/>
        <v>8.9</v>
      </c>
      <c r="P95" s="91">
        <v>-1487.44</v>
      </c>
      <c r="Q95" s="91">
        <v>185.83</v>
      </c>
      <c r="R95" s="140">
        <f t="shared" si="39"/>
        <v>1.9513639967463154E-2</v>
      </c>
      <c r="S95" s="89">
        <f t="shared" si="34"/>
        <v>51.246205303950973</v>
      </c>
      <c r="T95" s="223">
        <f t="shared" si="35"/>
        <v>4.789323575310768E-2</v>
      </c>
      <c r="U95" s="89">
        <f t="shared" si="36"/>
        <v>20.879775280898876</v>
      </c>
      <c r="V95" s="90">
        <v>4.05</v>
      </c>
      <c r="W95" s="90">
        <v>4.79</v>
      </c>
      <c r="X95" s="83">
        <f t="shared" si="37"/>
        <v>13.690000000000001</v>
      </c>
      <c r="Y95" s="90">
        <v>3.55</v>
      </c>
      <c r="Z95" s="124" t="s">
        <v>80</v>
      </c>
      <c r="AA95" s="124" t="s">
        <v>93</v>
      </c>
      <c r="AB95" s="125" t="s">
        <v>94</v>
      </c>
      <c r="AC95" s="125" t="s">
        <v>493</v>
      </c>
      <c r="AD95" s="35"/>
      <c r="AE95" s="35"/>
      <c r="AF95" s="178"/>
      <c r="AG95" s="178"/>
      <c r="AH95" s="178"/>
      <c r="AI95" s="178"/>
      <c r="AJ95" s="36">
        <v>6.46</v>
      </c>
      <c r="AK95" s="36">
        <v>15.71</v>
      </c>
      <c r="AL95" s="36">
        <v>160.99</v>
      </c>
      <c r="AM95" s="36">
        <v>232.99</v>
      </c>
      <c r="AN95" s="36"/>
      <c r="AO95" s="36"/>
      <c r="AP95" s="36"/>
      <c r="AQ95" s="36"/>
      <c r="AR95" s="36"/>
      <c r="AS95" s="36"/>
      <c r="AT95" s="35"/>
      <c r="AU95" s="35"/>
      <c r="AV95" s="126"/>
      <c r="AW95" s="126"/>
      <c r="AX95" s="189"/>
      <c r="AY95" s="189"/>
      <c r="AZ95" s="189"/>
      <c r="BA95" s="189"/>
      <c r="BB95" s="126" t="s">
        <v>361</v>
      </c>
    </row>
    <row r="96" spans="1:54" ht="89.25" x14ac:dyDescent="0.25">
      <c r="A96" s="36" t="s">
        <v>194</v>
      </c>
      <c r="B96" s="37"/>
      <c r="C96" s="17"/>
      <c r="D96" s="19"/>
      <c r="E96" s="89" t="s">
        <v>236</v>
      </c>
      <c r="F96" s="89">
        <v>8.9</v>
      </c>
      <c r="G96" s="39" t="s">
        <v>364</v>
      </c>
      <c r="H96" s="51">
        <v>9.1</v>
      </c>
      <c r="I96" s="90">
        <f t="shared" si="27"/>
        <v>29.855643044619423</v>
      </c>
      <c r="J96" s="90">
        <v>11.4</v>
      </c>
      <c r="K96" s="36">
        <f t="shared" si="30"/>
        <v>666.01760021597158</v>
      </c>
      <c r="L96" s="89">
        <f t="shared" si="31"/>
        <v>25.468238911718515</v>
      </c>
      <c r="M96" s="89">
        <f t="shared" si="32"/>
        <v>32.651588348357073</v>
      </c>
      <c r="N96" s="36">
        <f t="shared" si="38"/>
        <v>-23.751588348357075</v>
      </c>
      <c r="O96" s="36">
        <f t="shared" si="33"/>
        <v>8.9</v>
      </c>
      <c r="P96" s="61">
        <v>-1444.44</v>
      </c>
      <c r="Q96" s="61">
        <v>168.94900000000001</v>
      </c>
      <c r="R96" s="222">
        <f t="shared" si="39"/>
        <v>2.0237889528413218E-2</v>
      </c>
      <c r="S96" s="39">
        <f t="shared" si="34"/>
        <v>49.412266955802799</v>
      </c>
      <c r="T96" s="36">
        <f t="shared" si="35"/>
        <v>5.2678618991529987E-2</v>
      </c>
      <c r="U96" s="89">
        <f t="shared" si="36"/>
        <v>18.983033707865168</v>
      </c>
      <c r="V96" s="90">
        <v>4.08</v>
      </c>
      <c r="W96" s="90">
        <v>4.8899999999999997</v>
      </c>
      <c r="X96" s="83">
        <f t="shared" si="37"/>
        <v>13.79</v>
      </c>
      <c r="Y96" s="90">
        <v>5.45</v>
      </c>
      <c r="Z96" s="124" t="s">
        <v>80</v>
      </c>
      <c r="AA96" s="124" t="s">
        <v>93</v>
      </c>
      <c r="AB96" s="156" t="s">
        <v>94</v>
      </c>
      <c r="AC96" s="156" t="s">
        <v>493</v>
      </c>
      <c r="AD96" s="35"/>
      <c r="AE96" s="35"/>
      <c r="AF96" s="178"/>
      <c r="AG96" s="178"/>
      <c r="AH96" s="178"/>
      <c r="AI96" s="178"/>
      <c r="AJ96" s="36">
        <v>5.0549999999999997</v>
      </c>
      <c r="AK96" s="36">
        <v>16.11</v>
      </c>
      <c r="AL96" s="36">
        <v>126.81</v>
      </c>
      <c r="AM96" s="36">
        <v>206.81</v>
      </c>
      <c r="AN96" s="36"/>
      <c r="AO96" s="36"/>
      <c r="AP96" s="36"/>
      <c r="AQ96" s="36"/>
      <c r="AR96" s="36"/>
      <c r="AS96" s="36"/>
      <c r="AT96" s="35"/>
      <c r="AU96" s="35"/>
      <c r="AV96" s="206" t="s">
        <v>492</v>
      </c>
      <c r="AW96" s="206" t="s">
        <v>494</v>
      </c>
      <c r="AX96" s="189"/>
      <c r="AY96" s="207"/>
      <c r="AZ96" s="189"/>
      <c r="BA96" s="189"/>
      <c r="BB96" s="126" t="s">
        <v>361</v>
      </c>
    </row>
    <row r="97" spans="1:54" ht="102" x14ac:dyDescent="0.25">
      <c r="A97" s="36" t="s">
        <v>194</v>
      </c>
      <c r="B97" s="37"/>
      <c r="C97" s="17"/>
      <c r="D97" s="19"/>
      <c r="E97" s="89" t="s">
        <v>237</v>
      </c>
      <c r="F97" s="89">
        <v>8.9</v>
      </c>
      <c r="G97" s="39" t="s">
        <v>364</v>
      </c>
      <c r="H97" s="51">
        <v>9.1</v>
      </c>
      <c r="I97" s="90">
        <f t="shared" si="27"/>
        <v>29.855643044619423</v>
      </c>
      <c r="J97" s="90">
        <v>11.4</v>
      </c>
      <c r="K97" s="36">
        <f t="shared" si="30"/>
        <v>666.01760021597158</v>
      </c>
      <c r="L97" s="89">
        <f t="shared" si="31"/>
        <v>25.468238911718515</v>
      </c>
      <c r="M97" s="89">
        <f t="shared" si="32"/>
        <v>32.651588348357073</v>
      </c>
      <c r="N97" s="36">
        <f t="shared" si="38"/>
        <v>-23.751588348357075</v>
      </c>
      <c r="O97" s="36">
        <f t="shared" si="33"/>
        <v>8.9</v>
      </c>
      <c r="P97" s="91">
        <v>-1473.8</v>
      </c>
      <c r="Q97" s="91">
        <v>146.334</v>
      </c>
      <c r="R97" s="141">
        <f t="shared" si="39"/>
        <v>2.0153634420583159E-2</v>
      </c>
      <c r="S97" s="89">
        <f t="shared" si="34"/>
        <v>49.618841898743959</v>
      </c>
      <c r="T97" s="36">
        <f t="shared" si="35"/>
        <v>6.0819768474858885E-2</v>
      </c>
      <c r="U97" s="89">
        <f t="shared" si="36"/>
        <v>16.442022471910111</v>
      </c>
      <c r="V97" s="90">
        <v>4.08</v>
      </c>
      <c r="W97" s="90">
        <v>4.9800000000000004</v>
      </c>
      <c r="X97" s="83">
        <f t="shared" si="37"/>
        <v>13.88</v>
      </c>
      <c r="Y97" s="90">
        <v>6.46</v>
      </c>
      <c r="Z97" s="148" t="s">
        <v>80</v>
      </c>
      <c r="AA97" s="148" t="s">
        <v>94</v>
      </c>
      <c r="AB97" s="156" t="s">
        <v>94</v>
      </c>
      <c r="AC97" s="156" t="s">
        <v>497</v>
      </c>
      <c r="AD97" s="35"/>
      <c r="AE97" s="35"/>
      <c r="AF97" s="178"/>
      <c r="AG97" s="178"/>
      <c r="AH97" s="178"/>
      <c r="AI97" s="178"/>
      <c r="AJ97" s="36">
        <v>4.1900000000000004</v>
      </c>
      <c r="AK97" s="36">
        <v>15.237</v>
      </c>
      <c r="AL97" s="36">
        <v>118.29</v>
      </c>
      <c r="AM97" s="36">
        <v>148.251</v>
      </c>
      <c r="AN97" s="36"/>
      <c r="AO97" s="36"/>
      <c r="AP97" s="36"/>
      <c r="AQ97" s="36"/>
      <c r="AR97" s="36"/>
      <c r="AS97" s="36"/>
      <c r="AT97" s="35"/>
      <c r="AU97" s="35"/>
      <c r="AV97" s="206" t="s">
        <v>495</v>
      </c>
      <c r="AW97" s="206" t="s">
        <v>496</v>
      </c>
      <c r="AX97" s="189"/>
      <c r="AY97" s="208" t="s">
        <v>514</v>
      </c>
      <c r="AZ97" s="189"/>
      <c r="BA97" s="189"/>
      <c r="BB97" s="126" t="s">
        <v>361</v>
      </c>
    </row>
    <row r="98" spans="1:54" ht="12.75" customHeight="1" x14ac:dyDescent="0.2">
      <c r="A98" s="36" t="s">
        <v>194</v>
      </c>
      <c r="B98" s="37"/>
      <c r="C98" s="17"/>
      <c r="D98" s="19"/>
      <c r="E98" s="89" t="s">
        <v>238</v>
      </c>
      <c r="F98" s="89">
        <v>8.9</v>
      </c>
      <c r="G98" s="39" t="s">
        <v>364</v>
      </c>
      <c r="H98" s="51">
        <v>9.1</v>
      </c>
      <c r="I98" s="90">
        <f t="shared" si="27"/>
        <v>29.855643044619423</v>
      </c>
      <c r="J98" s="90">
        <v>11.4</v>
      </c>
      <c r="K98" s="36">
        <f t="shared" si="30"/>
        <v>666.01760021597158</v>
      </c>
      <c r="L98" s="89">
        <f t="shared" si="31"/>
        <v>25.468238911718515</v>
      </c>
      <c r="M98" s="89">
        <f t="shared" si="32"/>
        <v>32.651588348357073</v>
      </c>
      <c r="N98" s="36">
        <f t="shared" si="38"/>
        <v>-23.751588348357075</v>
      </c>
      <c r="O98" s="36">
        <f t="shared" si="33"/>
        <v>8.9</v>
      </c>
      <c r="P98" s="91">
        <v>-1533.16</v>
      </c>
      <c r="Q98" s="91">
        <v>108.61499999999999</v>
      </c>
      <c r="R98" s="139">
        <f t="shared" si="39"/>
        <v>1.9887979990167393E-2</v>
      </c>
      <c r="S98" s="89">
        <f t="shared" si="34"/>
        <v>50.281627419898825</v>
      </c>
      <c r="T98" s="36">
        <f t="shared" si="35"/>
        <v>8.194080007365466E-2</v>
      </c>
      <c r="U98" s="89">
        <f t="shared" si="36"/>
        <v>12.203932584269662</v>
      </c>
      <c r="V98" s="90">
        <v>4.0599999999999996</v>
      </c>
      <c r="W98" s="90">
        <v>5.27</v>
      </c>
      <c r="X98" s="83">
        <f t="shared" si="37"/>
        <v>14.17</v>
      </c>
      <c r="Y98" s="90">
        <v>8.23</v>
      </c>
      <c r="Z98" s="146" t="s">
        <v>80</v>
      </c>
      <c r="AA98" s="146" t="s">
        <v>94</v>
      </c>
      <c r="AB98" s="155" t="s">
        <v>94</v>
      </c>
      <c r="AC98" s="155" t="s">
        <v>114</v>
      </c>
      <c r="AD98" s="35"/>
      <c r="AE98" s="35">
        <v>4</v>
      </c>
      <c r="AF98" s="178">
        <v>5.68</v>
      </c>
      <c r="AG98" s="178">
        <v>7.77</v>
      </c>
      <c r="AH98" s="179" t="s">
        <v>80</v>
      </c>
      <c r="AI98" s="179" t="s">
        <v>94</v>
      </c>
      <c r="AJ98" s="36">
        <v>1.2</v>
      </c>
      <c r="AK98" s="36">
        <v>15.974</v>
      </c>
      <c r="AL98" s="36">
        <v>16.05</v>
      </c>
      <c r="AM98" s="36">
        <v>122.05</v>
      </c>
      <c r="AN98" s="36">
        <v>124.7</v>
      </c>
      <c r="AO98" s="36">
        <v>14.82</v>
      </c>
      <c r="AP98" s="36"/>
      <c r="AQ98" s="36"/>
      <c r="AR98" s="36"/>
      <c r="AS98" s="36"/>
      <c r="AT98" s="35"/>
      <c r="AU98" s="35"/>
      <c r="AV98" s="209" t="s">
        <v>458</v>
      </c>
      <c r="AW98" s="126"/>
      <c r="AX98" s="189"/>
      <c r="AY98" s="189"/>
      <c r="AZ98" s="189"/>
      <c r="BA98" s="189"/>
      <c r="BB98" s="126" t="s">
        <v>362</v>
      </c>
    </row>
    <row r="99" spans="1:54" ht="12.75" customHeight="1" x14ac:dyDescent="0.2">
      <c r="A99" s="36" t="s">
        <v>194</v>
      </c>
      <c r="B99" s="37"/>
      <c r="C99" s="17"/>
      <c r="D99" s="19"/>
      <c r="E99" s="89" t="s">
        <v>239</v>
      </c>
      <c r="F99" s="89">
        <v>8.9</v>
      </c>
      <c r="G99" s="39" t="s">
        <v>364</v>
      </c>
      <c r="H99" s="51">
        <v>9.1</v>
      </c>
      <c r="I99" s="90">
        <f t="shared" si="27"/>
        <v>29.855643044619423</v>
      </c>
      <c r="J99" s="90">
        <v>11.4</v>
      </c>
      <c r="K99" s="36">
        <f t="shared" si="30"/>
        <v>666.01760021597158</v>
      </c>
      <c r="L99" s="89">
        <f t="shared" si="31"/>
        <v>25.468238911718515</v>
      </c>
      <c r="M99" s="89">
        <f t="shared" si="32"/>
        <v>32.651588348357073</v>
      </c>
      <c r="N99" s="36">
        <f t="shared" si="38"/>
        <v>-23.751588348357075</v>
      </c>
      <c r="O99" s="36">
        <f t="shared" si="33"/>
        <v>8.9</v>
      </c>
      <c r="P99" s="91">
        <v>-1916.05</v>
      </c>
      <c r="Q99" s="91">
        <v>105.09</v>
      </c>
      <c r="R99" s="139">
        <f t="shared" si="39"/>
        <v>1.6155035449477561E-2</v>
      </c>
      <c r="S99" s="89">
        <f t="shared" si="34"/>
        <v>61.900204622103701</v>
      </c>
      <c r="T99" s="36">
        <f t="shared" si="35"/>
        <v>8.4689313921400708E-2</v>
      </c>
      <c r="U99" s="89">
        <f t="shared" si="36"/>
        <v>11.807865168539326</v>
      </c>
      <c r="V99" s="90">
        <v>3.9</v>
      </c>
      <c r="W99" s="90">
        <v>5.07</v>
      </c>
      <c r="X99" s="83">
        <f t="shared" si="37"/>
        <v>13.97</v>
      </c>
      <c r="Y99" s="90">
        <v>10.85</v>
      </c>
      <c r="Z99" s="146" t="s">
        <v>80</v>
      </c>
      <c r="AA99" s="146" t="s">
        <v>94</v>
      </c>
      <c r="AB99" s="155" t="s">
        <v>94</v>
      </c>
      <c r="AC99" s="155" t="s">
        <v>114</v>
      </c>
      <c r="AD99" s="35"/>
      <c r="AE99" s="35">
        <v>4</v>
      </c>
      <c r="AF99" s="178">
        <v>5.49</v>
      </c>
      <c r="AG99" s="178">
        <v>10.62</v>
      </c>
      <c r="AH99" s="179" t="s">
        <v>80</v>
      </c>
      <c r="AI99" s="179" t="s">
        <v>94</v>
      </c>
      <c r="AJ99" s="36">
        <v>1.5</v>
      </c>
      <c r="AK99" s="36">
        <v>15.57</v>
      </c>
      <c r="AL99" s="36">
        <v>56.23</v>
      </c>
      <c r="AM99" s="36">
        <v>116.23</v>
      </c>
      <c r="AN99" s="36">
        <v>127.31</v>
      </c>
      <c r="AO99" s="36">
        <v>15.8</v>
      </c>
      <c r="AP99" s="36"/>
      <c r="AQ99" s="36"/>
      <c r="AR99" s="36"/>
      <c r="AS99" s="36"/>
      <c r="AT99" s="35"/>
      <c r="AU99" s="35"/>
      <c r="AV99" s="209" t="s">
        <v>458</v>
      </c>
      <c r="AW99" s="126"/>
      <c r="AX99" s="189"/>
      <c r="AY99" s="189"/>
      <c r="AZ99" s="189"/>
      <c r="BA99" s="189"/>
      <c r="BB99" s="126" t="s">
        <v>362</v>
      </c>
    </row>
    <row r="100" spans="1:54" ht="26.25" thickBot="1" x14ac:dyDescent="0.3">
      <c r="A100" s="36" t="s">
        <v>194</v>
      </c>
      <c r="B100" s="37"/>
      <c r="C100" s="17"/>
      <c r="D100" s="19"/>
      <c r="E100" s="89" t="s">
        <v>240</v>
      </c>
      <c r="F100" s="89">
        <v>8.9</v>
      </c>
      <c r="G100" s="39" t="s">
        <v>364</v>
      </c>
      <c r="H100" s="51">
        <v>9.1</v>
      </c>
      <c r="I100" s="90">
        <f t="shared" si="27"/>
        <v>29.855643044619423</v>
      </c>
      <c r="J100" s="90">
        <v>11.4</v>
      </c>
      <c r="K100" s="36">
        <f t="shared" si="30"/>
        <v>666.01760021597158</v>
      </c>
      <c r="L100" s="89">
        <f t="shared" si="31"/>
        <v>25.468238911718515</v>
      </c>
      <c r="M100" s="89">
        <f t="shared" si="32"/>
        <v>32.651588348357073</v>
      </c>
      <c r="N100" s="36">
        <f t="shared" si="38"/>
        <v>-23.751588348357075</v>
      </c>
      <c r="O100" s="36">
        <f t="shared" si="33"/>
        <v>8.9</v>
      </c>
      <c r="P100" s="91">
        <v>-1844.3</v>
      </c>
      <c r="Q100" s="91">
        <v>10.973000000000001</v>
      </c>
      <c r="R100" s="140">
        <f t="shared" si="39"/>
        <v>1.7599344327415466E-2</v>
      </c>
      <c r="S100" s="89">
        <f t="shared" si="34"/>
        <v>56.820298608638794</v>
      </c>
      <c r="T100" s="36">
        <f t="shared" si="35"/>
        <v>0.81108174610407358</v>
      </c>
      <c r="U100" s="89">
        <f t="shared" si="36"/>
        <v>1.2329213483146069</v>
      </c>
      <c r="V100" s="90">
        <v>3.97</v>
      </c>
      <c r="W100" s="90">
        <v>5.42</v>
      </c>
      <c r="X100" s="83">
        <f t="shared" si="37"/>
        <v>14.32</v>
      </c>
      <c r="Y100" s="90">
        <v>14.34</v>
      </c>
      <c r="Z100" s="146" t="s">
        <v>80</v>
      </c>
      <c r="AA100" s="146" t="s">
        <v>94</v>
      </c>
      <c r="AB100" s="155" t="s">
        <v>94</v>
      </c>
      <c r="AC100" s="155" t="s">
        <v>457</v>
      </c>
      <c r="AD100" s="35"/>
      <c r="AE100" s="35">
        <v>4</v>
      </c>
      <c r="AF100" s="178"/>
      <c r="AG100" s="178"/>
      <c r="AH100" s="178"/>
      <c r="AI100" s="178"/>
      <c r="AJ100" s="36">
        <v>-1.29</v>
      </c>
      <c r="AK100" s="36">
        <v>13.83</v>
      </c>
      <c r="AL100" s="36">
        <v>-8.07</v>
      </c>
      <c r="AM100" s="36">
        <v>21.93</v>
      </c>
      <c r="AN100" s="36"/>
      <c r="AO100" s="36"/>
      <c r="AP100" s="36"/>
      <c r="AQ100" s="36"/>
      <c r="AR100" s="36"/>
      <c r="AS100" s="36"/>
      <c r="AT100" s="35"/>
      <c r="AU100" s="35"/>
      <c r="AV100" s="209" t="s">
        <v>459</v>
      </c>
      <c r="AW100" s="209" t="s">
        <v>412</v>
      </c>
      <c r="AX100" s="210" t="s">
        <v>421</v>
      </c>
      <c r="AY100" s="189"/>
      <c r="AZ100" s="189"/>
      <c r="BA100" s="189"/>
      <c r="BB100" s="126" t="s">
        <v>362</v>
      </c>
    </row>
    <row r="101" spans="1:54" ht="76.5" x14ac:dyDescent="0.2">
      <c r="A101" s="36" t="s">
        <v>194</v>
      </c>
      <c r="B101" s="37"/>
      <c r="C101" s="17"/>
      <c r="D101" s="134"/>
      <c r="E101" s="89" t="s">
        <v>241</v>
      </c>
      <c r="F101" s="89">
        <v>8.9</v>
      </c>
      <c r="G101" s="39" t="s">
        <v>364</v>
      </c>
      <c r="H101" s="51">
        <v>9.1</v>
      </c>
      <c r="I101" s="90">
        <f t="shared" si="27"/>
        <v>29.855643044619423</v>
      </c>
      <c r="J101" s="90">
        <v>11.4</v>
      </c>
      <c r="K101" s="36">
        <f t="shared" si="30"/>
        <v>666.01760021597158</v>
      </c>
      <c r="L101" s="89">
        <f t="shared" si="31"/>
        <v>25.468238911718515</v>
      </c>
      <c r="M101" s="89">
        <f t="shared" si="32"/>
        <v>32.651588348357073</v>
      </c>
      <c r="N101" s="36">
        <f t="shared" si="38"/>
        <v>-23.751588348357075</v>
      </c>
      <c r="O101" s="36">
        <f t="shared" si="33"/>
        <v>8.9</v>
      </c>
      <c r="P101" s="91">
        <v>-1050.42</v>
      </c>
      <c r="Q101" s="91">
        <v>151.49</v>
      </c>
      <c r="R101" s="139">
        <f t="shared" si="39"/>
        <v>2.7166417076450875E-2</v>
      </c>
      <c r="S101" s="89">
        <f t="shared" si="34"/>
        <v>36.810154139422636</v>
      </c>
      <c r="T101" s="36">
        <f t="shared" si="35"/>
        <v>5.8749752458908178E-2</v>
      </c>
      <c r="U101" s="89">
        <f t="shared" si="36"/>
        <v>17.02134831460674</v>
      </c>
      <c r="V101" s="90">
        <v>4.33</v>
      </c>
      <c r="W101" s="90">
        <v>5.27</v>
      </c>
      <c r="X101" s="83">
        <f t="shared" si="37"/>
        <v>14.17</v>
      </c>
      <c r="Y101" s="90">
        <v>38.299999999999997</v>
      </c>
      <c r="Z101" s="146" t="s">
        <v>91</v>
      </c>
      <c r="AA101" s="146" t="s">
        <v>94</v>
      </c>
      <c r="AB101" s="155" t="s">
        <v>94</v>
      </c>
      <c r="AC101" s="155" t="s">
        <v>460</v>
      </c>
      <c r="AD101" s="35"/>
      <c r="AE101" s="35"/>
      <c r="AF101" s="178">
        <v>5.52</v>
      </c>
      <c r="AG101" s="178">
        <v>9.07</v>
      </c>
      <c r="AH101" s="179" t="s">
        <v>80</v>
      </c>
      <c r="AI101" s="179" t="s">
        <v>94</v>
      </c>
      <c r="AJ101" s="36">
        <v>3.86</v>
      </c>
      <c r="AK101" s="36">
        <v>15.14</v>
      </c>
      <c r="AL101" s="35">
        <v>147.58000000000001</v>
      </c>
      <c r="AM101" s="35">
        <v>155.58000000000001</v>
      </c>
      <c r="AN101" s="35">
        <v>168.37</v>
      </c>
      <c r="AO101" s="35">
        <v>15.21</v>
      </c>
      <c r="AP101" s="109"/>
      <c r="AQ101" s="36"/>
      <c r="AR101" s="36"/>
      <c r="AS101" s="36"/>
      <c r="AT101" s="155" t="s">
        <v>462</v>
      </c>
      <c r="AU101" s="35"/>
      <c r="AV101" s="209" t="s">
        <v>461</v>
      </c>
      <c r="AW101" s="209" t="s">
        <v>463</v>
      </c>
      <c r="AX101" s="189"/>
      <c r="AY101" s="189"/>
      <c r="AZ101" s="189"/>
      <c r="BA101" s="189"/>
      <c r="BB101" s="126" t="s">
        <v>363</v>
      </c>
    </row>
    <row r="102" spans="1:54" ht="12.75" customHeight="1" x14ac:dyDescent="0.25">
      <c r="A102" s="35" t="s">
        <v>194</v>
      </c>
      <c r="B102" s="37"/>
      <c r="C102" s="17"/>
      <c r="D102" s="19"/>
      <c r="E102" s="109" t="s">
        <v>242</v>
      </c>
      <c r="F102" s="109">
        <v>8.9</v>
      </c>
      <c r="G102" s="39" t="s">
        <v>364</v>
      </c>
      <c r="H102" s="51">
        <v>9.1</v>
      </c>
      <c r="I102" s="35">
        <f t="shared" si="27"/>
        <v>29.855643044619423</v>
      </c>
      <c r="J102" s="35">
        <v>11.4</v>
      </c>
      <c r="K102" s="35">
        <f t="shared" si="30"/>
        <v>666.01760021597158</v>
      </c>
      <c r="L102" s="109">
        <f t="shared" si="31"/>
        <v>25.468238911718515</v>
      </c>
      <c r="M102" s="109">
        <f t="shared" si="32"/>
        <v>32.651588348357073</v>
      </c>
      <c r="N102" s="35">
        <f t="shared" si="38"/>
        <v>-23.751588348357075</v>
      </c>
      <c r="O102" s="35">
        <f t="shared" si="33"/>
        <v>8.9</v>
      </c>
      <c r="P102" s="152">
        <v>-1117.82</v>
      </c>
      <c r="Q102" s="152">
        <v>133.905</v>
      </c>
      <c r="R102" s="165">
        <f t="shared" si="39"/>
        <v>2.608527300194298E-2</v>
      </c>
      <c r="S102" s="109">
        <f t="shared" si="34"/>
        <v>38.335807331804205</v>
      </c>
      <c r="T102" s="35">
        <f t="shared" si="35"/>
        <v>6.6465031178820813E-2</v>
      </c>
      <c r="U102" s="109">
        <f t="shared" si="36"/>
        <v>15.045505617977527</v>
      </c>
      <c r="V102" s="35">
        <v>4.29</v>
      </c>
      <c r="W102" s="35">
        <v>5.01</v>
      </c>
      <c r="X102" s="83">
        <f t="shared" si="37"/>
        <v>13.91</v>
      </c>
      <c r="Y102" s="35">
        <v>37.47</v>
      </c>
      <c r="Z102" s="155" t="s">
        <v>91</v>
      </c>
      <c r="AA102" s="155" t="s">
        <v>94</v>
      </c>
      <c r="AB102" s="155" t="s">
        <v>94</v>
      </c>
      <c r="AC102" s="155" t="s">
        <v>460</v>
      </c>
      <c r="AD102" s="35"/>
      <c r="AE102" s="35"/>
      <c r="AF102" s="178">
        <v>5.03</v>
      </c>
      <c r="AG102" s="178">
        <v>2.04</v>
      </c>
      <c r="AH102" s="180" t="s">
        <v>382</v>
      </c>
      <c r="AI102" s="180" t="s">
        <v>93</v>
      </c>
      <c r="AJ102" s="35">
        <v>7.3</v>
      </c>
      <c r="AK102" s="35">
        <v>14.2</v>
      </c>
      <c r="AL102" s="35">
        <v>131.63</v>
      </c>
      <c r="AM102" s="35">
        <v>135.63</v>
      </c>
      <c r="AN102" s="35">
        <v>140.52000000000001</v>
      </c>
      <c r="AO102" s="35">
        <v>12.54</v>
      </c>
      <c r="AP102" s="36"/>
      <c r="AQ102" s="36"/>
      <c r="AR102" s="36"/>
      <c r="AS102" s="36"/>
      <c r="AT102" s="35"/>
      <c r="AU102" s="35"/>
      <c r="AV102" s="209" t="s">
        <v>464</v>
      </c>
      <c r="AW102" s="209" t="s">
        <v>465</v>
      </c>
      <c r="AX102" s="126"/>
      <c r="AY102" s="126"/>
      <c r="AZ102" s="126"/>
      <c r="BA102" s="126"/>
      <c r="BB102" s="126" t="s">
        <v>363</v>
      </c>
    </row>
    <row r="103" spans="1:54" ht="38.25" x14ac:dyDescent="0.2">
      <c r="A103" s="36" t="s">
        <v>194</v>
      </c>
      <c r="B103" s="37"/>
      <c r="C103" s="17"/>
      <c r="D103" s="19"/>
      <c r="E103" s="89" t="s">
        <v>243</v>
      </c>
      <c r="F103" s="89">
        <v>8.9</v>
      </c>
      <c r="G103" s="39" t="s">
        <v>364</v>
      </c>
      <c r="H103" s="51">
        <v>9.1</v>
      </c>
      <c r="I103" s="90">
        <f t="shared" si="27"/>
        <v>29.855643044619423</v>
      </c>
      <c r="J103" s="90">
        <v>11.4</v>
      </c>
      <c r="K103" s="36">
        <f t="shared" si="30"/>
        <v>666.01760021597158</v>
      </c>
      <c r="L103" s="89">
        <f t="shared" si="31"/>
        <v>25.468238911718515</v>
      </c>
      <c r="M103" s="89">
        <f t="shared" si="32"/>
        <v>32.651588348357073</v>
      </c>
      <c r="N103" s="36">
        <f t="shared" si="38"/>
        <v>-23.751588348357075</v>
      </c>
      <c r="O103" s="36">
        <f t="shared" si="33"/>
        <v>8.9</v>
      </c>
      <c r="P103" s="91">
        <v>-1719.65</v>
      </c>
      <c r="Q103" s="91">
        <v>228.833</v>
      </c>
      <c r="R103" s="139">
        <f t="shared" si="39"/>
        <v>1.6757440710725765E-2</v>
      </c>
      <c r="S103" s="89">
        <f t="shared" si="34"/>
        <v>59.674983624434972</v>
      </c>
      <c r="T103" s="36">
        <f t="shared" si="35"/>
        <v>3.8892991832471718E-2</v>
      </c>
      <c r="U103" s="89">
        <f t="shared" si="36"/>
        <v>25.711573033707865</v>
      </c>
      <c r="V103" s="90">
        <v>3.93</v>
      </c>
      <c r="W103" s="90">
        <v>4.6399999999999997</v>
      </c>
      <c r="X103" s="83">
        <f t="shared" si="37"/>
        <v>13.54</v>
      </c>
      <c r="Y103" s="90">
        <v>3.38</v>
      </c>
      <c r="Z103" s="146" t="s">
        <v>80</v>
      </c>
      <c r="AA103" s="146" t="s">
        <v>93</v>
      </c>
      <c r="AB103" s="155" t="s">
        <v>94</v>
      </c>
      <c r="AC103" s="155" t="s">
        <v>466</v>
      </c>
      <c r="AD103" s="35"/>
      <c r="AE103" s="35"/>
      <c r="AF103" s="178"/>
      <c r="AG103" s="178"/>
      <c r="AH103" s="178"/>
      <c r="AI103" s="178"/>
      <c r="AJ103" s="36">
        <v>6.68</v>
      </c>
      <c r="AK103" s="36">
        <v>14.305</v>
      </c>
      <c r="AL103" s="158">
        <v>195.72</v>
      </c>
      <c r="AM103" s="158">
        <v>241.72</v>
      </c>
      <c r="AN103" s="36"/>
      <c r="AO103" s="36"/>
      <c r="AP103" s="36"/>
      <c r="AQ103" s="36"/>
      <c r="AR103" s="36"/>
      <c r="AS103" s="36"/>
      <c r="AT103" s="35"/>
      <c r="AU103" s="35"/>
      <c r="AV103" s="209" t="s">
        <v>467</v>
      </c>
      <c r="AW103" s="209" t="s">
        <v>468</v>
      </c>
      <c r="AX103" s="189"/>
      <c r="AY103" s="189"/>
      <c r="AZ103" s="189"/>
      <c r="BA103" s="189"/>
      <c r="BB103" s="126" t="s">
        <v>363</v>
      </c>
    </row>
    <row r="104" spans="1:54" ht="12.75" customHeight="1" x14ac:dyDescent="0.25">
      <c r="A104" s="36" t="s">
        <v>194</v>
      </c>
      <c r="B104" s="37"/>
      <c r="C104" s="17"/>
      <c r="D104" s="19"/>
      <c r="E104" s="89" t="s">
        <v>244</v>
      </c>
      <c r="F104" s="89">
        <v>8.9</v>
      </c>
      <c r="G104" s="39" t="s">
        <v>364</v>
      </c>
      <c r="H104" s="51">
        <v>9.1</v>
      </c>
      <c r="I104" s="90">
        <f t="shared" si="27"/>
        <v>29.855643044619423</v>
      </c>
      <c r="J104" s="90">
        <v>11.4</v>
      </c>
      <c r="K104" s="36">
        <f t="shared" si="30"/>
        <v>666.01760021597158</v>
      </c>
      <c r="L104" s="89">
        <f t="shared" si="31"/>
        <v>25.468238911718515</v>
      </c>
      <c r="M104" s="89">
        <f t="shared" si="32"/>
        <v>32.651588348357073</v>
      </c>
      <c r="N104" s="36">
        <f t="shared" si="38"/>
        <v>-23.751588348357075</v>
      </c>
      <c r="O104" s="36">
        <f t="shared" si="33"/>
        <v>8.9</v>
      </c>
      <c r="P104" s="91">
        <v>-1605.49</v>
      </c>
      <c r="Q104" s="91">
        <v>265.47399999999999</v>
      </c>
      <c r="R104" s="140">
        <f t="shared" si="39"/>
        <v>1.745174591726889E-2</v>
      </c>
      <c r="S104" s="89">
        <f t="shared" si="34"/>
        <v>57.300857160112429</v>
      </c>
      <c r="T104" s="36">
        <f t="shared" si="35"/>
        <v>3.3524940295471498E-2</v>
      </c>
      <c r="U104" s="89">
        <f t="shared" si="36"/>
        <v>29.828539325842694</v>
      </c>
      <c r="V104" s="90">
        <v>3.96</v>
      </c>
      <c r="W104" s="90">
        <v>5.29</v>
      </c>
      <c r="X104" s="83">
        <f t="shared" si="37"/>
        <v>14.190000000000001</v>
      </c>
      <c r="Y104" s="90">
        <v>3.75</v>
      </c>
      <c r="Z104" s="149" t="s">
        <v>79</v>
      </c>
      <c r="AA104" s="150" t="s">
        <v>93</v>
      </c>
      <c r="AB104" s="156" t="s">
        <v>94</v>
      </c>
      <c r="AC104" s="156" t="s">
        <v>501</v>
      </c>
      <c r="AD104" s="35"/>
      <c r="AE104" s="35"/>
      <c r="AF104" s="178"/>
      <c r="AG104" s="178"/>
      <c r="AH104" s="178"/>
      <c r="AI104" s="178"/>
      <c r="AJ104" s="36">
        <v>0</v>
      </c>
      <c r="AK104" s="36">
        <v>14.59</v>
      </c>
      <c r="AL104" s="36">
        <v>0</v>
      </c>
      <c r="AM104" s="36">
        <v>326.61</v>
      </c>
      <c r="AN104" s="36"/>
      <c r="AO104" s="36"/>
      <c r="AP104" s="36"/>
      <c r="AQ104" s="36"/>
      <c r="AR104" s="36"/>
      <c r="AS104" s="36"/>
      <c r="AT104" s="35"/>
      <c r="AU104" s="35"/>
      <c r="AV104" s="206" t="s">
        <v>499</v>
      </c>
      <c r="AW104" s="206" t="s">
        <v>500</v>
      </c>
      <c r="AX104" s="189"/>
      <c r="AY104" s="206" t="s">
        <v>498</v>
      </c>
      <c r="AZ104" s="189"/>
      <c r="BA104" s="189"/>
      <c r="BB104" s="126" t="s">
        <v>363</v>
      </c>
    </row>
    <row r="105" spans="1:54" x14ac:dyDescent="0.2">
      <c r="A105" s="36" t="s">
        <v>194</v>
      </c>
      <c r="B105" s="37"/>
      <c r="C105" s="17"/>
      <c r="D105" s="19"/>
      <c r="E105" s="89" t="s">
        <v>245</v>
      </c>
      <c r="F105" s="89">
        <v>8.9</v>
      </c>
      <c r="G105" s="39" t="s">
        <v>364</v>
      </c>
      <c r="H105" s="51">
        <v>9.1</v>
      </c>
      <c r="I105" s="90">
        <f t="shared" si="27"/>
        <v>29.855643044619423</v>
      </c>
      <c r="J105" s="90">
        <v>11.4</v>
      </c>
      <c r="K105" s="36">
        <f t="shared" si="30"/>
        <v>666.01760021597158</v>
      </c>
      <c r="L105" s="89">
        <f t="shared" si="31"/>
        <v>25.468238911718515</v>
      </c>
      <c r="M105" s="89">
        <f t="shared" si="32"/>
        <v>32.651588348357073</v>
      </c>
      <c r="N105" s="36">
        <f t="shared" si="38"/>
        <v>-23.751588348357075</v>
      </c>
      <c r="O105" s="36">
        <f t="shared" si="33"/>
        <v>8.9</v>
      </c>
      <c r="P105" s="91">
        <v>-1452.91</v>
      </c>
      <c r="Q105" s="91">
        <v>257.01400000000001</v>
      </c>
      <c r="R105" s="139">
        <f t="shared" si="39"/>
        <v>1.9095344792141096E-2</v>
      </c>
      <c r="S105" s="89">
        <f t="shared" si="34"/>
        <v>52.36878468995026</v>
      </c>
      <c r="T105" s="36">
        <f t="shared" si="35"/>
        <v>3.4628463819091564E-2</v>
      </c>
      <c r="U105" s="89">
        <f t="shared" si="36"/>
        <v>28.87797752808989</v>
      </c>
      <c r="V105" s="90">
        <v>4.03</v>
      </c>
      <c r="W105" s="90"/>
      <c r="X105" s="83">
        <f t="shared" si="37"/>
        <v>12.93</v>
      </c>
      <c r="Y105" s="90">
        <v>3.75</v>
      </c>
      <c r="Z105" s="146" t="s">
        <v>79</v>
      </c>
      <c r="AA105" s="150" t="s">
        <v>94</v>
      </c>
      <c r="AB105" s="155" t="s">
        <v>93</v>
      </c>
      <c r="AC105" s="35"/>
      <c r="AD105" s="35"/>
      <c r="AE105" s="35"/>
      <c r="AF105" s="178"/>
      <c r="AG105" s="178"/>
      <c r="AH105" s="178"/>
      <c r="AI105" s="178"/>
      <c r="AJ105" s="36"/>
      <c r="AK105" s="36"/>
      <c r="AL105" s="36"/>
      <c r="AM105" s="36"/>
      <c r="AN105" s="36"/>
      <c r="AO105" s="36"/>
      <c r="AP105" s="36"/>
      <c r="AQ105" s="36"/>
      <c r="AR105" s="36"/>
      <c r="AS105" s="36"/>
      <c r="AT105" s="35"/>
      <c r="AU105" s="35"/>
      <c r="AV105" s="126"/>
      <c r="AW105" s="126"/>
      <c r="AX105" s="210" t="s">
        <v>469</v>
      </c>
      <c r="AY105" s="189"/>
      <c r="AZ105" s="189"/>
      <c r="BA105" s="189"/>
      <c r="BB105" s="126" t="s">
        <v>365</v>
      </c>
    </row>
    <row r="106" spans="1:54" x14ac:dyDescent="0.2">
      <c r="A106" s="36" t="s">
        <v>194</v>
      </c>
      <c r="B106" s="37"/>
      <c r="C106" s="17"/>
      <c r="D106" s="19"/>
      <c r="E106" s="89" t="s">
        <v>246</v>
      </c>
      <c r="F106" s="89">
        <v>8.9</v>
      </c>
      <c r="G106" s="39" t="s">
        <v>364</v>
      </c>
      <c r="H106" s="51">
        <v>9.1</v>
      </c>
      <c r="I106" s="90">
        <f t="shared" si="27"/>
        <v>29.855643044619423</v>
      </c>
      <c r="J106" s="90">
        <v>11.4</v>
      </c>
      <c r="K106" s="36">
        <f t="shared" si="30"/>
        <v>666.01760021597158</v>
      </c>
      <c r="L106" s="89">
        <f t="shared" si="31"/>
        <v>25.468238911718515</v>
      </c>
      <c r="M106" s="89">
        <f t="shared" si="32"/>
        <v>32.651588348357073</v>
      </c>
      <c r="N106" s="36">
        <f t="shared" si="38"/>
        <v>-23.751588348357075</v>
      </c>
      <c r="O106" s="36">
        <f t="shared" si="33"/>
        <v>8.9</v>
      </c>
      <c r="P106" s="91">
        <v>-1878</v>
      </c>
      <c r="Q106" s="91">
        <v>239.85400000000001</v>
      </c>
      <c r="R106" s="139">
        <f t="shared" si="39"/>
        <v>1.5417298996227822E-2</v>
      </c>
      <c r="S106" s="89">
        <f t="shared" si="34"/>
        <v>64.86220447853232</v>
      </c>
      <c r="T106" s="36">
        <f t="shared" si="35"/>
        <v>3.7105906092873162E-2</v>
      </c>
      <c r="U106" s="89">
        <f t="shared" si="36"/>
        <v>26.94988764044944</v>
      </c>
      <c r="V106" s="90">
        <v>3.86</v>
      </c>
      <c r="W106" s="90"/>
      <c r="X106" s="83">
        <f t="shared" si="37"/>
        <v>12.76</v>
      </c>
      <c r="Y106" s="90">
        <v>2.5099999999999998</v>
      </c>
      <c r="Z106" s="146" t="s">
        <v>79</v>
      </c>
      <c r="AA106" s="150" t="s">
        <v>93</v>
      </c>
      <c r="AB106" s="155" t="s">
        <v>93</v>
      </c>
      <c r="AC106" s="35"/>
      <c r="AD106" s="35"/>
      <c r="AE106" s="35"/>
      <c r="AF106" s="178"/>
      <c r="AG106" s="178"/>
      <c r="AH106" s="178"/>
      <c r="AI106" s="178"/>
      <c r="AJ106" s="36"/>
      <c r="AK106" s="36"/>
      <c r="AL106" s="36"/>
      <c r="AM106" s="36"/>
      <c r="AN106" s="36"/>
      <c r="AO106" s="36"/>
      <c r="AP106" s="36"/>
      <c r="AQ106" s="36"/>
      <c r="AR106" s="36"/>
      <c r="AS106" s="36"/>
      <c r="AT106" s="35"/>
      <c r="AU106" s="35"/>
      <c r="AV106" s="126"/>
      <c r="AW106" s="126"/>
      <c r="AX106" s="210" t="s">
        <v>469</v>
      </c>
      <c r="AY106" s="189"/>
      <c r="AZ106" s="189"/>
      <c r="BA106" s="189"/>
      <c r="BB106" s="126" t="s">
        <v>365</v>
      </c>
    </row>
    <row r="107" spans="1:54" ht="25.5" x14ac:dyDescent="0.2">
      <c r="A107" s="36" t="s">
        <v>194</v>
      </c>
      <c r="B107" s="37"/>
      <c r="C107" s="17"/>
      <c r="D107" s="19"/>
      <c r="E107" s="89" t="s">
        <v>247</v>
      </c>
      <c r="F107" s="89">
        <v>8.9</v>
      </c>
      <c r="G107" s="39" t="s">
        <v>364</v>
      </c>
      <c r="H107" s="51">
        <v>9.1</v>
      </c>
      <c r="I107" s="90">
        <f t="shared" si="27"/>
        <v>29.855643044619423</v>
      </c>
      <c r="J107" s="90">
        <v>11.4</v>
      </c>
      <c r="K107" s="36">
        <f t="shared" si="30"/>
        <v>666.01760021597158</v>
      </c>
      <c r="L107" s="89">
        <f t="shared" si="31"/>
        <v>25.468238911718515</v>
      </c>
      <c r="M107" s="89">
        <f t="shared" si="32"/>
        <v>32.651588348357073</v>
      </c>
      <c r="N107" s="36">
        <f t="shared" si="38"/>
        <v>-23.751588348357075</v>
      </c>
      <c r="O107" s="36">
        <f t="shared" si="33"/>
        <v>8.9</v>
      </c>
      <c r="P107" s="91">
        <v>-1488.42</v>
      </c>
      <c r="Q107" s="91">
        <v>225</v>
      </c>
      <c r="R107" s="139">
        <f t="shared" si="39"/>
        <v>1.9056383343463407E-2</v>
      </c>
      <c r="S107" s="89">
        <f t="shared" si="34"/>
        <v>52.475854519531026</v>
      </c>
      <c r="T107" s="36">
        <f t="shared" si="35"/>
        <v>3.9555555555555559E-2</v>
      </c>
      <c r="U107" s="89">
        <f t="shared" si="36"/>
        <v>25.280898876404493</v>
      </c>
      <c r="V107" s="90">
        <v>4.03</v>
      </c>
      <c r="W107" s="90">
        <v>2.61</v>
      </c>
      <c r="X107" s="83">
        <f t="shared" si="37"/>
        <v>11.51</v>
      </c>
      <c r="Y107" s="90">
        <v>34.18</v>
      </c>
      <c r="Z107" s="146" t="s">
        <v>91</v>
      </c>
      <c r="AA107" s="146" t="s">
        <v>94</v>
      </c>
      <c r="AB107" s="155" t="s">
        <v>94</v>
      </c>
      <c r="AC107" s="155" t="s">
        <v>470</v>
      </c>
      <c r="AD107" s="35"/>
      <c r="AE107" s="35"/>
      <c r="AF107" s="178">
        <v>3.56</v>
      </c>
      <c r="AG107" s="178">
        <v>4.17</v>
      </c>
      <c r="AH107" s="179" t="s">
        <v>382</v>
      </c>
      <c r="AI107" s="181" t="s">
        <v>93</v>
      </c>
      <c r="AJ107" s="36">
        <v>8.67</v>
      </c>
      <c r="AK107" s="36">
        <v>13.132</v>
      </c>
      <c r="AL107" s="36">
        <v>224.51</v>
      </c>
      <c r="AM107" s="36">
        <v>226.51</v>
      </c>
      <c r="AN107" s="36">
        <v>231.56</v>
      </c>
      <c r="AO107" s="36">
        <v>13.28</v>
      </c>
      <c r="AP107" s="36"/>
      <c r="AQ107" s="36"/>
      <c r="AR107" s="36"/>
      <c r="AS107" s="36"/>
      <c r="AT107" s="35"/>
      <c r="AU107" s="35"/>
      <c r="AV107" s="126"/>
      <c r="AW107" s="126"/>
      <c r="AX107" s="189"/>
      <c r="AY107" s="189"/>
      <c r="AZ107" s="189"/>
      <c r="BA107" s="189"/>
      <c r="BB107" s="126" t="s">
        <v>361</v>
      </c>
    </row>
    <row r="108" spans="1:54" x14ac:dyDescent="0.2">
      <c r="A108" s="36" t="s">
        <v>194</v>
      </c>
      <c r="B108" s="37"/>
      <c r="C108" s="17"/>
      <c r="D108" s="17"/>
      <c r="E108" s="89" t="s">
        <v>248</v>
      </c>
      <c r="F108" s="89">
        <v>8.9</v>
      </c>
      <c r="G108" s="38" t="s">
        <v>364</v>
      </c>
      <c r="H108" s="38">
        <v>9.1</v>
      </c>
      <c r="I108" s="90">
        <f t="shared" si="27"/>
        <v>29.855643044619423</v>
      </c>
      <c r="J108" s="90">
        <v>11.4</v>
      </c>
      <c r="K108" s="36">
        <f t="shared" si="30"/>
        <v>666.01760021597158</v>
      </c>
      <c r="L108" s="89">
        <f t="shared" si="31"/>
        <v>25.468238911718515</v>
      </c>
      <c r="M108" s="89">
        <f t="shared" si="32"/>
        <v>32.651588348357073</v>
      </c>
      <c r="N108" s="36">
        <f t="shared" si="38"/>
        <v>-23.751588348357075</v>
      </c>
      <c r="O108" s="36">
        <f t="shared" si="33"/>
        <v>8.9</v>
      </c>
      <c r="P108" s="91">
        <v>-1418.47</v>
      </c>
      <c r="Q108" s="91">
        <v>199.4</v>
      </c>
      <c r="R108" s="139">
        <f t="shared" si="39"/>
        <v>2.0181836827654304E-2</v>
      </c>
      <c r="S108" s="89">
        <f t="shared" si="34"/>
        <v>49.549503771120719</v>
      </c>
      <c r="T108" s="36">
        <f t="shared" si="35"/>
        <v>4.4633901705115345E-2</v>
      </c>
      <c r="U108" s="89">
        <f t="shared" si="36"/>
        <v>22.404494382022474</v>
      </c>
      <c r="V108" s="90">
        <v>4.08</v>
      </c>
      <c r="W108" s="90"/>
      <c r="X108" s="83">
        <f t="shared" si="37"/>
        <v>12.98</v>
      </c>
      <c r="Y108" s="90">
        <v>3.75</v>
      </c>
      <c r="Z108" s="146" t="s">
        <v>79</v>
      </c>
      <c r="AA108" s="90"/>
      <c r="AB108" s="155" t="s">
        <v>93</v>
      </c>
      <c r="AC108" s="35"/>
      <c r="AD108" s="35"/>
      <c r="AE108" s="35"/>
      <c r="AF108" s="178"/>
      <c r="AG108" s="178"/>
      <c r="AH108" s="178"/>
      <c r="AI108" s="178"/>
      <c r="AJ108" s="36"/>
      <c r="AK108" s="36"/>
      <c r="AL108" s="36"/>
      <c r="AM108" s="36"/>
      <c r="AN108" s="36"/>
      <c r="AO108" s="36"/>
      <c r="AP108" s="36"/>
      <c r="AQ108" s="36"/>
      <c r="AR108" s="36"/>
      <c r="AS108" s="36"/>
      <c r="AT108" s="35"/>
      <c r="AU108" s="35"/>
      <c r="AV108" s="126"/>
      <c r="AW108" s="126"/>
      <c r="AX108" s="210" t="s">
        <v>469</v>
      </c>
      <c r="AY108" s="189"/>
      <c r="AZ108" s="189"/>
      <c r="BA108" s="189"/>
      <c r="BB108" s="126" t="s">
        <v>365</v>
      </c>
    </row>
    <row r="109" spans="1:54" ht="12.75" customHeight="1" x14ac:dyDescent="0.25">
      <c r="A109" s="36" t="s">
        <v>192</v>
      </c>
      <c r="B109" s="37"/>
      <c r="C109" s="17"/>
      <c r="D109" s="17"/>
      <c r="E109" s="89" t="s">
        <v>291</v>
      </c>
      <c r="F109" s="89">
        <v>9.1999999999999993</v>
      </c>
      <c r="G109" s="38" t="s">
        <v>364</v>
      </c>
      <c r="H109" s="38">
        <v>9.1</v>
      </c>
      <c r="I109" s="90">
        <f t="shared" si="27"/>
        <v>29.855643044619423</v>
      </c>
      <c r="J109" s="90">
        <v>11.4</v>
      </c>
      <c r="K109" s="36">
        <f t="shared" si="30"/>
        <v>666.01760021597158</v>
      </c>
      <c r="L109" s="89">
        <f t="shared" si="31"/>
        <v>25.468238911718515</v>
      </c>
      <c r="M109" s="89">
        <f t="shared" si="32"/>
        <v>32.651588348357073</v>
      </c>
      <c r="N109" s="36">
        <f t="shared" si="38"/>
        <v>-23.451588348357074</v>
      </c>
      <c r="O109" s="36">
        <f t="shared" si="33"/>
        <v>9.1999999999999993</v>
      </c>
      <c r="P109" s="220">
        <v>-590.13699999999994</v>
      </c>
      <c r="Q109" s="220">
        <v>118.5498</v>
      </c>
      <c r="R109" s="138">
        <f t="shared" si="39"/>
        <v>4.6073368868105168E-2</v>
      </c>
      <c r="S109" s="89">
        <f t="shared" si="34"/>
        <v>21.704512271779237</v>
      </c>
      <c r="T109" s="36">
        <f t="shared" si="35"/>
        <v>7.7604517257726283E-2</v>
      </c>
      <c r="U109" s="89">
        <f t="shared" si="36"/>
        <v>12.885847826086957</v>
      </c>
      <c r="V109" s="90">
        <v>4.8099999999999996</v>
      </c>
      <c r="W109" s="90"/>
      <c r="X109" s="83">
        <f t="shared" si="37"/>
        <v>14.009999999999998</v>
      </c>
      <c r="Y109" s="90">
        <v>10.029999999999999</v>
      </c>
      <c r="Z109" s="124" t="s">
        <v>79</v>
      </c>
      <c r="AA109" s="90"/>
      <c r="AB109" s="152" t="s">
        <v>93</v>
      </c>
      <c r="AC109" s="35"/>
      <c r="AD109" s="35">
        <f t="shared" ref="AD109:AD145" si="40">Y109+F109</f>
        <v>19.229999999999997</v>
      </c>
      <c r="AE109" s="35"/>
      <c r="AF109" s="178"/>
      <c r="AG109" s="178"/>
      <c r="AH109" s="178"/>
      <c r="AI109" s="178"/>
      <c r="AJ109" s="36">
        <v>12.266999999999999</v>
      </c>
      <c r="AK109" s="36">
        <v>17.291</v>
      </c>
      <c r="AL109" s="36">
        <v>132.43</v>
      </c>
      <c r="AM109" s="36">
        <v>138.33000000000001</v>
      </c>
      <c r="AN109" s="36"/>
      <c r="AO109" s="36"/>
      <c r="AP109" s="36"/>
      <c r="AQ109" s="89"/>
      <c r="AR109" s="35"/>
      <c r="AS109" s="35"/>
      <c r="AT109" s="89"/>
      <c r="AU109" s="89"/>
      <c r="AV109" s="208" t="s">
        <v>509</v>
      </c>
      <c r="AW109" s="130"/>
      <c r="AX109" s="130"/>
      <c r="AY109" s="130"/>
      <c r="AZ109" s="130"/>
      <c r="BA109" s="130"/>
      <c r="BB109" s="126" t="s">
        <v>345</v>
      </c>
    </row>
    <row r="110" spans="1:54" ht="25.5" x14ac:dyDescent="0.25">
      <c r="A110" s="36" t="s">
        <v>192</v>
      </c>
      <c r="B110" s="37"/>
      <c r="C110" s="17"/>
      <c r="D110" s="17"/>
      <c r="E110" s="89" t="s">
        <v>292</v>
      </c>
      <c r="F110" s="89">
        <v>9.1999999999999993</v>
      </c>
      <c r="G110" s="38" t="s">
        <v>364</v>
      </c>
      <c r="H110" s="38">
        <v>9.1</v>
      </c>
      <c r="I110" s="90">
        <f t="shared" si="27"/>
        <v>29.855643044619423</v>
      </c>
      <c r="J110" s="90">
        <v>11.4</v>
      </c>
      <c r="K110" s="36">
        <f t="shared" si="30"/>
        <v>666.01760021597158</v>
      </c>
      <c r="L110" s="89">
        <f t="shared" si="31"/>
        <v>25.468238911718515</v>
      </c>
      <c r="M110" s="89">
        <f t="shared" si="32"/>
        <v>32.651588348357073</v>
      </c>
      <c r="N110" s="36">
        <f t="shared" si="38"/>
        <v>-23.451588348357074</v>
      </c>
      <c r="O110" s="36">
        <f t="shared" si="33"/>
        <v>9.1999999999999993</v>
      </c>
      <c r="P110" s="220">
        <v>-746.80399999999997</v>
      </c>
      <c r="Q110" s="220">
        <v>112.8689</v>
      </c>
      <c r="R110" s="138">
        <f t="shared" si="39"/>
        <v>3.7981409380657541E-2</v>
      </c>
      <c r="S110" s="89">
        <f t="shared" si="34"/>
        <v>26.328670165390474</v>
      </c>
      <c r="T110" s="36">
        <f t="shared" si="35"/>
        <v>8.1510495805310404E-2</v>
      </c>
      <c r="U110" s="89">
        <f t="shared" si="36"/>
        <v>12.268358695652175</v>
      </c>
      <c r="V110" s="90">
        <v>4.63</v>
      </c>
      <c r="W110" s="90"/>
      <c r="X110" s="83">
        <f t="shared" si="37"/>
        <v>13.829999999999998</v>
      </c>
      <c r="Y110" s="90">
        <v>8.5299999999999994</v>
      </c>
      <c r="Z110" s="124" t="s">
        <v>79</v>
      </c>
      <c r="AA110" s="90"/>
      <c r="AB110" s="125" t="s">
        <v>93</v>
      </c>
      <c r="AC110" s="35"/>
      <c r="AD110" s="35">
        <f t="shared" si="40"/>
        <v>17.729999999999997</v>
      </c>
      <c r="AE110" s="35"/>
      <c r="AF110" s="178"/>
      <c r="AG110" s="178"/>
      <c r="AH110" s="178"/>
      <c r="AI110" s="178"/>
      <c r="AJ110" s="36">
        <v>4.8461999999999996</v>
      </c>
      <c r="AK110" s="36">
        <v>16.8339</v>
      </c>
      <c r="AL110" s="241">
        <v>31.62</v>
      </c>
      <c r="AM110" s="241">
        <v>91.62</v>
      </c>
      <c r="AN110" s="36"/>
      <c r="AO110" s="36"/>
      <c r="AP110" s="36"/>
      <c r="AQ110" s="36"/>
      <c r="AR110" s="36"/>
      <c r="AS110" s="36"/>
      <c r="AT110" s="35"/>
      <c r="AU110" s="35"/>
      <c r="AV110" s="126"/>
      <c r="AW110" s="126"/>
      <c r="AX110" s="211" t="s">
        <v>504</v>
      </c>
      <c r="AY110" s="189"/>
      <c r="AZ110" s="189"/>
      <c r="BA110" s="189"/>
      <c r="BB110" s="126" t="s">
        <v>347</v>
      </c>
    </row>
    <row r="111" spans="1:54" ht="76.5" x14ac:dyDescent="0.25">
      <c r="A111" s="36" t="s">
        <v>192</v>
      </c>
      <c r="B111" s="37"/>
      <c r="C111" s="17"/>
      <c r="D111" s="17"/>
      <c r="E111" s="89" t="s">
        <v>293</v>
      </c>
      <c r="F111" s="89">
        <v>9.1999999999999993</v>
      </c>
      <c r="G111" s="38" t="s">
        <v>364</v>
      </c>
      <c r="H111" s="38">
        <v>9.1</v>
      </c>
      <c r="I111" s="90">
        <f t="shared" si="27"/>
        <v>29.855643044619423</v>
      </c>
      <c r="J111" s="90">
        <v>11.4</v>
      </c>
      <c r="K111" s="36">
        <f t="shared" si="30"/>
        <v>666.01760021597158</v>
      </c>
      <c r="L111" s="89">
        <f t="shared" si="31"/>
        <v>25.468238911718515</v>
      </c>
      <c r="M111" s="89">
        <f t="shared" si="32"/>
        <v>32.651588348357073</v>
      </c>
      <c r="N111" s="36">
        <f t="shared" si="38"/>
        <v>-23.451588348357074</v>
      </c>
      <c r="O111" s="36">
        <f t="shared" si="33"/>
        <v>9.1999999999999993</v>
      </c>
      <c r="P111" s="91">
        <v>-627.99</v>
      </c>
      <c r="Q111" s="91">
        <v>159.99</v>
      </c>
      <c r="R111" s="138">
        <f t="shared" si="39"/>
        <v>4.1437077525263426E-2</v>
      </c>
      <c r="S111" s="89">
        <f t="shared" si="34"/>
        <v>24.132976062086385</v>
      </c>
      <c r="T111" s="36">
        <f t="shared" si="35"/>
        <v>5.7503593974623408E-2</v>
      </c>
      <c r="U111" s="89">
        <f t="shared" si="36"/>
        <v>17.390217391304351</v>
      </c>
      <c r="V111" s="90">
        <v>4.71</v>
      </c>
      <c r="W111" s="90">
        <v>5.85</v>
      </c>
      <c r="X111" s="83">
        <f t="shared" si="37"/>
        <v>15.049999999999999</v>
      </c>
      <c r="Y111" s="90">
        <v>9.7200000000000006</v>
      </c>
      <c r="Z111" s="224" t="s">
        <v>80</v>
      </c>
      <c r="AA111" s="224" t="s">
        <v>94</v>
      </c>
      <c r="AB111" s="232" t="s">
        <v>94</v>
      </c>
      <c r="AC111" s="235" t="s">
        <v>389</v>
      </c>
      <c r="AD111" s="35">
        <f t="shared" si="40"/>
        <v>18.920000000000002</v>
      </c>
      <c r="AE111" s="35"/>
      <c r="AF111" s="178"/>
      <c r="AG111" s="178"/>
      <c r="AH111" s="178"/>
      <c r="AI111" s="178"/>
      <c r="AJ111" s="36">
        <v>2.2553999999999998</v>
      </c>
      <c r="AK111" s="36">
        <v>14.741</v>
      </c>
      <c r="AL111" s="36">
        <v>108</v>
      </c>
      <c r="AM111" s="36">
        <v>180</v>
      </c>
      <c r="AN111" s="36"/>
      <c r="AO111" s="36"/>
      <c r="AP111" s="243"/>
      <c r="AQ111" s="36"/>
      <c r="AR111" s="36"/>
      <c r="AS111" s="36"/>
      <c r="AT111" s="235" t="s">
        <v>385</v>
      </c>
      <c r="AU111" s="35"/>
      <c r="AV111" s="247" t="s">
        <v>386</v>
      </c>
      <c r="AW111" s="126"/>
      <c r="AX111" s="189"/>
      <c r="AY111" s="189"/>
      <c r="AZ111" s="189"/>
      <c r="BA111" s="189"/>
      <c r="BB111" s="126"/>
    </row>
    <row r="112" spans="1:54" s="213" customFormat="1" ht="25.5" x14ac:dyDescent="0.25">
      <c r="A112" s="36" t="s">
        <v>192</v>
      </c>
      <c r="B112" s="37"/>
      <c r="C112" s="17"/>
      <c r="D112" s="17"/>
      <c r="E112" s="89" t="s">
        <v>294</v>
      </c>
      <c r="F112" s="89">
        <v>9.1999999999999993</v>
      </c>
      <c r="G112" s="38" t="s">
        <v>364</v>
      </c>
      <c r="H112" s="38">
        <v>9.1</v>
      </c>
      <c r="I112" s="90">
        <f t="shared" si="27"/>
        <v>29.855643044619423</v>
      </c>
      <c r="J112" s="90">
        <v>11.4</v>
      </c>
      <c r="K112" s="36">
        <f t="shared" si="30"/>
        <v>666.01760021597158</v>
      </c>
      <c r="L112" s="89">
        <f t="shared" si="31"/>
        <v>25.468238911718515</v>
      </c>
      <c r="M112" s="89">
        <f t="shared" si="32"/>
        <v>32.651588348357073</v>
      </c>
      <c r="N112" s="36">
        <f t="shared" si="38"/>
        <v>-23.451588348357074</v>
      </c>
      <c r="O112" s="36">
        <f t="shared" si="33"/>
        <v>9.1999999999999993</v>
      </c>
      <c r="P112" s="91">
        <v>-1077.76</v>
      </c>
      <c r="Q112" s="91">
        <v>72.47</v>
      </c>
      <c r="R112" s="138">
        <f t="shared" si="39"/>
        <v>2.838700811868676E-2</v>
      </c>
      <c r="S112" s="89">
        <f t="shared" si="34"/>
        <v>35.22738274561997</v>
      </c>
      <c r="T112" s="36">
        <f t="shared" si="35"/>
        <v>0.12694908237891542</v>
      </c>
      <c r="U112" s="89">
        <f t="shared" si="36"/>
        <v>7.8771739130434781</v>
      </c>
      <c r="V112" s="90">
        <v>4.3600000000000003</v>
      </c>
      <c r="W112" s="90">
        <v>5.4</v>
      </c>
      <c r="X112" s="83">
        <f t="shared" si="37"/>
        <v>14.6</v>
      </c>
      <c r="Y112" s="90">
        <v>8.48</v>
      </c>
      <c r="Z112" s="143" t="s">
        <v>80</v>
      </c>
      <c r="AA112" s="143" t="s">
        <v>94</v>
      </c>
      <c r="AB112" s="151" t="s">
        <v>93</v>
      </c>
      <c r="AC112" s="151" t="s">
        <v>392</v>
      </c>
      <c r="AD112" s="35">
        <f t="shared" si="40"/>
        <v>17.68</v>
      </c>
      <c r="AE112" s="35"/>
      <c r="AF112" s="178"/>
      <c r="AG112" s="178"/>
      <c r="AH112" s="178"/>
      <c r="AI112" s="178"/>
      <c r="AJ112" s="36">
        <v>3.2654999999999998</v>
      </c>
      <c r="AK112" s="36">
        <v>16.284400000000002</v>
      </c>
      <c r="AL112" s="36">
        <v>26.99</v>
      </c>
      <c r="AM112" s="36">
        <v>98.938000000000002</v>
      </c>
      <c r="AN112" s="36"/>
      <c r="AO112" s="36"/>
      <c r="AP112" s="36"/>
      <c r="AQ112" s="36"/>
      <c r="AR112" s="36"/>
      <c r="AS112" s="36"/>
      <c r="AT112" s="151" t="s">
        <v>388</v>
      </c>
      <c r="AU112" s="35"/>
      <c r="AV112" s="204" t="s">
        <v>393</v>
      </c>
      <c r="AW112" s="204" t="s">
        <v>394</v>
      </c>
      <c r="AX112" s="189"/>
      <c r="AY112" s="189"/>
      <c r="AZ112" s="189"/>
      <c r="BA112" s="189"/>
      <c r="BB112" s="126" t="s">
        <v>348</v>
      </c>
    </row>
    <row r="113" spans="1:54" s="213" customFormat="1" ht="12.75" customHeight="1" x14ac:dyDescent="0.25">
      <c r="A113" s="36" t="s">
        <v>192</v>
      </c>
      <c r="B113" s="37"/>
      <c r="C113" s="17"/>
      <c r="D113" s="17"/>
      <c r="E113" s="89" t="s">
        <v>295</v>
      </c>
      <c r="F113" s="89">
        <v>9.1999999999999993</v>
      </c>
      <c r="G113" s="38" t="s">
        <v>364</v>
      </c>
      <c r="H113" s="38">
        <v>9.1</v>
      </c>
      <c r="I113" s="90">
        <f t="shared" si="27"/>
        <v>29.855643044619423</v>
      </c>
      <c r="J113" s="90">
        <v>11.4</v>
      </c>
      <c r="K113" s="36">
        <f t="shared" si="30"/>
        <v>666.01760021597158</v>
      </c>
      <c r="L113" s="89">
        <f t="shared" si="31"/>
        <v>25.468238911718515</v>
      </c>
      <c r="M113" s="89">
        <f t="shared" si="32"/>
        <v>32.651588348357073</v>
      </c>
      <c r="N113" s="36">
        <f t="shared" si="38"/>
        <v>-23.451588348357074</v>
      </c>
      <c r="O113" s="36">
        <f t="shared" si="33"/>
        <v>9.1999999999999993</v>
      </c>
      <c r="P113" s="91">
        <v>-2079.75</v>
      </c>
      <c r="Q113" s="91">
        <v>63.04</v>
      </c>
      <c r="R113" s="138">
        <f t="shared" si="39"/>
        <v>1.5237885349640923E-2</v>
      </c>
      <c r="S113" s="89">
        <f t="shared" si="34"/>
        <v>65.625903926594688</v>
      </c>
      <c r="T113" s="36">
        <f t="shared" si="35"/>
        <v>0.14593908629441624</v>
      </c>
      <c r="U113" s="89">
        <f t="shared" si="36"/>
        <v>6.8521739130434787</v>
      </c>
      <c r="V113" s="90">
        <v>3.85</v>
      </c>
      <c r="W113" s="90">
        <v>5.21</v>
      </c>
      <c r="X113" s="83">
        <f t="shared" si="37"/>
        <v>14.41</v>
      </c>
      <c r="Y113" s="90">
        <v>9.36</v>
      </c>
      <c r="Z113" s="228" t="s">
        <v>80</v>
      </c>
      <c r="AA113" s="231" t="s">
        <v>94</v>
      </c>
      <c r="AB113" s="235" t="s">
        <v>93</v>
      </c>
      <c r="AC113" s="35"/>
      <c r="AD113" s="35">
        <f t="shared" si="40"/>
        <v>18.559999999999999</v>
      </c>
      <c r="AE113" s="35"/>
      <c r="AF113" s="178"/>
      <c r="AG113" s="178"/>
      <c r="AH113" s="178"/>
      <c r="AI113" s="178"/>
      <c r="AJ113" s="36">
        <v>0</v>
      </c>
      <c r="AK113" s="36">
        <v>15.13</v>
      </c>
      <c r="AL113" s="36">
        <v>0</v>
      </c>
      <c r="AM113" s="36">
        <v>104.22</v>
      </c>
      <c r="AN113" s="36"/>
      <c r="AO113" s="36"/>
      <c r="AP113" s="36"/>
      <c r="AQ113" s="36"/>
      <c r="AR113" s="36"/>
      <c r="AS113" s="36"/>
      <c r="AT113" s="35"/>
      <c r="AU113" s="35"/>
      <c r="AV113" s="126"/>
      <c r="AW113" s="126"/>
      <c r="AX113" s="189"/>
      <c r="AY113" s="189"/>
      <c r="AZ113" s="189"/>
      <c r="BA113" s="189"/>
      <c r="BB113" s="126"/>
    </row>
    <row r="114" spans="1:54" s="213" customFormat="1" ht="12.75" customHeight="1" x14ac:dyDescent="0.25">
      <c r="A114" s="36" t="s">
        <v>192</v>
      </c>
      <c r="B114" s="37"/>
      <c r="C114" s="17"/>
      <c r="D114" s="17"/>
      <c r="E114" s="89" t="s">
        <v>296</v>
      </c>
      <c r="F114" s="89">
        <v>9.1999999999999993</v>
      </c>
      <c r="G114" s="38" t="s">
        <v>364</v>
      </c>
      <c r="H114" s="38">
        <v>9.1</v>
      </c>
      <c r="I114" s="90">
        <f t="shared" si="27"/>
        <v>29.855643044619423</v>
      </c>
      <c r="J114" s="90">
        <v>11.4</v>
      </c>
      <c r="K114" s="36">
        <f t="shared" si="30"/>
        <v>666.01760021597158</v>
      </c>
      <c r="L114" s="89">
        <f t="shared" si="31"/>
        <v>25.468238911718515</v>
      </c>
      <c r="M114" s="89">
        <f t="shared" si="32"/>
        <v>32.651588348357073</v>
      </c>
      <c r="N114" s="36">
        <f t="shared" si="38"/>
        <v>-23.451588348357074</v>
      </c>
      <c r="O114" s="36">
        <f t="shared" si="33"/>
        <v>9.1999999999999993</v>
      </c>
      <c r="P114" s="91">
        <v>-1015.33</v>
      </c>
      <c r="Q114" s="91">
        <v>80.56</v>
      </c>
      <c r="R114" s="138">
        <f t="shared" si="39"/>
        <v>2.9794585540845405E-2</v>
      </c>
      <c r="S114" s="89">
        <f t="shared" si="34"/>
        <v>33.563145177136285</v>
      </c>
      <c r="T114" s="36">
        <f t="shared" si="35"/>
        <v>0.11420059582919562</v>
      </c>
      <c r="U114" s="89">
        <f t="shared" si="36"/>
        <v>8.7565217391304362</v>
      </c>
      <c r="V114" s="90">
        <v>4.41</v>
      </c>
      <c r="W114" s="90">
        <v>5.39</v>
      </c>
      <c r="X114" s="83">
        <f t="shared" si="37"/>
        <v>14.59</v>
      </c>
      <c r="Y114" s="90">
        <v>8.1199999999999992</v>
      </c>
      <c r="Z114" s="146" t="s">
        <v>80</v>
      </c>
      <c r="AA114" s="146" t="s">
        <v>94</v>
      </c>
      <c r="AB114" s="235" t="s">
        <v>94</v>
      </c>
      <c r="AC114" s="155" t="s">
        <v>450</v>
      </c>
      <c r="AD114" s="35">
        <f t="shared" si="40"/>
        <v>17.32</v>
      </c>
      <c r="AE114" s="35"/>
      <c r="AF114" s="178"/>
      <c r="AG114" s="178"/>
      <c r="AH114" s="178"/>
      <c r="AI114" s="178"/>
      <c r="AJ114" s="36">
        <v>3.82</v>
      </c>
      <c r="AK114" s="36">
        <v>16.8</v>
      </c>
      <c r="AL114" s="36">
        <v>37.659999999999997</v>
      </c>
      <c r="AM114" s="36">
        <v>91.66</v>
      </c>
      <c r="AN114" s="36"/>
      <c r="AO114" s="36"/>
      <c r="AP114" s="36"/>
      <c r="AQ114" s="36"/>
      <c r="AR114" s="36"/>
      <c r="AS114" s="36"/>
      <c r="AT114" s="35"/>
      <c r="AU114" s="35"/>
      <c r="AV114" s="209" t="s">
        <v>451</v>
      </c>
      <c r="AW114" s="204" t="s">
        <v>395</v>
      </c>
      <c r="AX114" s="189"/>
      <c r="AY114" s="189"/>
      <c r="AZ114" s="189"/>
      <c r="BA114" s="189"/>
      <c r="BB114" s="126" t="s">
        <v>349</v>
      </c>
    </row>
    <row r="115" spans="1:54" s="213" customFormat="1" ht="25.5" customHeight="1" x14ac:dyDescent="0.2">
      <c r="A115" s="36" t="s">
        <v>192</v>
      </c>
      <c r="B115" s="37"/>
      <c r="C115" s="17"/>
      <c r="D115" s="17"/>
      <c r="E115" s="89" t="s">
        <v>297</v>
      </c>
      <c r="F115" s="89">
        <v>9.1999999999999993</v>
      </c>
      <c r="G115" s="38" t="s">
        <v>364</v>
      </c>
      <c r="H115" s="38">
        <v>9.1</v>
      </c>
      <c r="I115" s="90">
        <f t="shared" si="27"/>
        <v>29.855643044619423</v>
      </c>
      <c r="J115" s="90">
        <v>11.4</v>
      </c>
      <c r="K115" s="36">
        <f t="shared" si="30"/>
        <v>666.01760021597158</v>
      </c>
      <c r="L115" s="89">
        <f t="shared" si="31"/>
        <v>25.468238911718515</v>
      </c>
      <c r="M115" s="89">
        <f t="shared" si="32"/>
        <v>32.651588348357073</v>
      </c>
      <c r="N115" s="36">
        <f t="shared" si="38"/>
        <v>-23.451588348357074</v>
      </c>
      <c r="O115" s="36">
        <f t="shared" si="33"/>
        <v>9.1999999999999993</v>
      </c>
      <c r="P115" s="91">
        <v>-510.54</v>
      </c>
      <c r="Q115" s="91">
        <v>93.12</v>
      </c>
      <c r="R115" s="138">
        <f t="shared" si="39"/>
        <v>5.4089368764465212E-2</v>
      </c>
      <c r="S115" s="89">
        <f t="shared" si="34"/>
        <v>18.487921431557996</v>
      </c>
      <c r="T115" s="36">
        <f t="shared" si="35"/>
        <v>9.8797250859106511E-2</v>
      </c>
      <c r="U115" s="89">
        <f t="shared" si="36"/>
        <v>10.121739130434785</v>
      </c>
      <c r="V115" s="90">
        <v>4.96</v>
      </c>
      <c r="W115" s="90"/>
      <c r="X115" s="83">
        <f t="shared" si="37"/>
        <v>14.16</v>
      </c>
      <c r="Y115" s="90">
        <v>8.06</v>
      </c>
      <c r="Z115" s="124" t="s">
        <v>79</v>
      </c>
      <c r="AA115" s="90"/>
      <c r="AB115" s="151" t="s">
        <v>93</v>
      </c>
      <c r="AC115" s="236"/>
      <c r="AD115" s="35">
        <f t="shared" si="40"/>
        <v>17.259999999999998</v>
      </c>
      <c r="AE115" s="35"/>
      <c r="AF115" s="178"/>
      <c r="AG115" s="178"/>
      <c r="AH115" s="178"/>
      <c r="AI115" s="178"/>
      <c r="AJ115" s="36" t="s">
        <v>346</v>
      </c>
      <c r="AK115" s="36" t="s">
        <v>346</v>
      </c>
      <c r="AL115" s="36"/>
      <c r="AM115" s="36"/>
      <c r="AN115" s="36"/>
      <c r="AO115" s="36"/>
      <c r="AP115" s="36"/>
      <c r="AQ115" s="36"/>
      <c r="AR115" s="36"/>
      <c r="AS115" s="36"/>
      <c r="AT115" s="35"/>
      <c r="AU115" s="35"/>
      <c r="AV115" s="204" t="s">
        <v>397</v>
      </c>
      <c r="AW115" s="126"/>
      <c r="AX115" s="205" t="s">
        <v>398</v>
      </c>
      <c r="AY115" s="189"/>
      <c r="AZ115" s="189"/>
      <c r="BA115" s="189"/>
      <c r="BB115" s="126"/>
    </row>
    <row r="116" spans="1:54" s="213" customFormat="1" ht="76.5" customHeight="1" x14ac:dyDescent="0.25">
      <c r="A116" s="36" t="s">
        <v>192</v>
      </c>
      <c r="B116" s="37"/>
      <c r="C116" s="17"/>
      <c r="D116" s="17"/>
      <c r="E116" s="89" t="s">
        <v>265</v>
      </c>
      <c r="F116" s="89">
        <v>9.1999999999999993</v>
      </c>
      <c r="G116" s="38" t="s">
        <v>364</v>
      </c>
      <c r="H116" s="38">
        <v>7</v>
      </c>
      <c r="I116" s="90">
        <f t="shared" si="27"/>
        <v>22.965879265091864</v>
      </c>
      <c r="J116" s="90">
        <v>11.6</v>
      </c>
      <c r="K116" s="36">
        <f t="shared" si="30"/>
        <v>689.59163038674308</v>
      </c>
      <c r="L116" s="89">
        <f t="shared" si="31"/>
        <v>21.630776282208998</v>
      </c>
      <c r="M116" s="89">
        <f t="shared" si="32"/>
        <v>27.73176446437051</v>
      </c>
      <c r="N116" s="36">
        <f t="shared" si="38"/>
        <v>-18.531764464370511</v>
      </c>
      <c r="O116" s="36">
        <f t="shared" si="33"/>
        <v>9.1999999999999993</v>
      </c>
      <c r="P116" s="91">
        <v>-5112.21</v>
      </c>
      <c r="Q116" s="91">
        <v>60.74</v>
      </c>
      <c r="R116" s="138">
        <f t="shared" si="39"/>
        <v>5.3609187145382247E-3</v>
      </c>
      <c r="S116" s="89">
        <f t="shared" si="34"/>
        <v>186.53519168050607</v>
      </c>
      <c r="T116" s="36">
        <f t="shared" si="35"/>
        <v>0.151465261771485</v>
      </c>
      <c r="U116" s="89">
        <f t="shared" si="36"/>
        <v>6.6021739130434787</v>
      </c>
      <c r="V116" s="90">
        <v>2.5499999999999998</v>
      </c>
      <c r="W116" s="90"/>
      <c r="X116" s="83">
        <f t="shared" si="37"/>
        <v>11.75</v>
      </c>
      <c r="Y116" s="90">
        <v>0.68</v>
      </c>
      <c r="Z116" s="124" t="s">
        <v>79</v>
      </c>
      <c r="AA116" s="90"/>
      <c r="AB116" s="233" t="s">
        <v>93</v>
      </c>
      <c r="AC116" s="35"/>
      <c r="AD116" s="35">
        <f t="shared" si="40"/>
        <v>9.879999999999999</v>
      </c>
      <c r="AE116" s="35"/>
      <c r="AF116" s="178"/>
      <c r="AG116" s="178"/>
      <c r="AH116" s="178"/>
      <c r="AI116" s="178"/>
      <c r="AJ116" s="36">
        <v>4.9829999999999997</v>
      </c>
      <c r="AK116" s="36">
        <v>12.7011</v>
      </c>
      <c r="AL116" s="36">
        <v>49.81</v>
      </c>
      <c r="AM116" s="36">
        <v>69.632999999999996</v>
      </c>
      <c r="AN116" s="36"/>
      <c r="AO116" s="36"/>
      <c r="AP116" s="36"/>
      <c r="AQ116" s="36"/>
      <c r="AR116" s="36"/>
      <c r="AS116" s="36"/>
      <c r="AT116" s="35"/>
      <c r="AU116" s="35"/>
      <c r="AV116" s="204" t="s">
        <v>397</v>
      </c>
      <c r="AW116" s="126"/>
      <c r="AX116" s="205" t="s">
        <v>399</v>
      </c>
      <c r="AY116" s="189"/>
      <c r="AZ116" s="189"/>
      <c r="BA116" s="189"/>
      <c r="BB116" s="126" t="s">
        <v>350</v>
      </c>
    </row>
    <row r="117" spans="1:54" s="213" customFormat="1" ht="76.5" x14ac:dyDescent="0.25">
      <c r="A117" s="36" t="s">
        <v>192</v>
      </c>
      <c r="B117" s="37"/>
      <c r="C117" s="17"/>
      <c r="D117" s="17"/>
      <c r="E117" s="89" t="s">
        <v>266</v>
      </c>
      <c r="F117" s="89">
        <v>9.1999999999999993</v>
      </c>
      <c r="G117" s="38" t="s">
        <v>364</v>
      </c>
      <c r="H117" s="38">
        <v>9.1</v>
      </c>
      <c r="I117" s="90">
        <f t="shared" ref="I117:I145" si="41">CONVERT(H117,"m","ft")</f>
        <v>29.855643044619423</v>
      </c>
      <c r="J117" s="90">
        <v>11.4</v>
      </c>
      <c r="K117" s="36">
        <f t="shared" si="30"/>
        <v>666.01760021597158</v>
      </c>
      <c r="L117" s="89">
        <f t="shared" si="31"/>
        <v>25.468238911718515</v>
      </c>
      <c r="M117" s="89">
        <f t="shared" si="32"/>
        <v>32.651588348357073</v>
      </c>
      <c r="N117" s="36">
        <f t="shared" si="38"/>
        <v>-23.451588348357074</v>
      </c>
      <c r="O117" s="36">
        <f t="shared" si="33"/>
        <v>9.1999999999999993</v>
      </c>
      <c r="P117" s="91">
        <v>-1110.3699999999999</v>
      </c>
      <c r="Q117" s="91">
        <v>191.48500000000001</v>
      </c>
      <c r="R117" s="138">
        <f t="shared" si="39"/>
        <v>2.5080818023786883E-2</v>
      </c>
      <c r="S117" s="89">
        <f t="shared" si="34"/>
        <v>39.871107834345381</v>
      </c>
      <c r="T117" s="36">
        <f t="shared" si="35"/>
        <v>4.8045538815050783E-2</v>
      </c>
      <c r="U117" s="89">
        <f t="shared" si="36"/>
        <v>20.813586956521743</v>
      </c>
      <c r="V117" s="90">
        <v>4.26</v>
      </c>
      <c r="W117" s="90"/>
      <c r="X117" s="83">
        <f t="shared" si="37"/>
        <v>13.459999999999999</v>
      </c>
      <c r="Y117" s="90">
        <v>4.71</v>
      </c>
      <c r="Z117" s="124" t="s">
        <v>79</v>
      </c>
      <c r="AA117" s="90"/>
      <c r="AB117" s="233" t="s">
        <v>93</v>
      </c>
      <c r="AC117" s="35"/>
      <c r="AD117" s="35">
        <f t="shared" si="40"/>
        <v>13.91</v>
      </c>
      <c r="AE117" s="35"/>
      <c r="AF117" s="178"/>
      <c r="AG117" s="178"/>
      <c r="AH117" s="178"/>
      <c r="AI117" s="178"/>
      <c r="AJ117" s="36">
        <v>2.004</v>
      </c>
      <c r="AK117" s="36">
        <v>20.667000000000002</v>
      </c>
      <c r="AL117" s="36">
        <v>78.870999999999995</v>
      </c>
      <c r="AM117" s="36">
        <v>4968.3599999999997</v>
      </c>
      <c r="AN117" s="36"/>
      <c r="AO117" s="36"/>
      <c r="AP117" s="244" t="s">
        <v>377</v>
      </c>
      <c r="AQ117" s="36"/>
      <c r="AR117" s="36"/>
      <c r="AS117" s="36"/>
      <c r="AT117" s="151" t="s">
        <v>94</v>
      </c>
      <c r="AU117" s="35"/>
      <c r="AV117" s="204" t="s">
        <v>397</v>
      </c>
      <c r="AW117" s="126"/>
      <c r="AX117" s="250" t="s">
        <v>510</v>
      </c>
      <c r="AY117" s="189"/>
      <c r="AZ117" s="189"/>
      <c r="BA117" s="189"/>
      <c r="BB117" s="126" t="s">
        <v>355</v>
      </c>
    </row>
    <row r="118" spans="1:54" s="213" customFormat="1" ht="38.25" customHeight="1" x14ac:dyDescent="0.25">
      <c r="A118" s="36" t="s">
        <v>192</v>
      </c>
      <c r="B118" s="37"/>
      <c r="C118" s="17"/>
      <c r="D118" s="17"/>
      <c r="E118" s="89" t="s">
        <v>267</v>
      </c>
      <c r="F118" s="89">
        <v>9.1999999999999993</v>
      </c>
      <c r="G118" s="38" t="s">
        <v>364</v>
      </c>
      <c r="H118" s="38">
        <v>9.1</v>
      </c>
      <c r="I118" s="90">
        <f t="shared" si="41"/>
        <v>29.855643044619423</v>
      </c>
      <c r="J118" s="90">
        <v>11.4</v>
      </c>
      <c r="K118" s="36">
        <f t="shared" si="30"/>
        <v>666.01760021597158</v>
      </c>
      <c r="L118" s="89">
        <f t="shared" si="31"/>
        <v>25.468238911718515</v>
      </c>
      <c r="M118" s="89">
        <f t="shared" si="32"/>
        <v>32.651588348357073</v>
      </c>
      <c r="N118" s="36">
        <f t="shared" si="38"/>
        <v>-23.451588348357074</v>
      </c>
      <c r="O118" s="36">
        <f t="shared" si="33"/>
        <v>9.1999999999999993</v>
      </c>
      <c r="P118" s="91">
        <v>-2170.23</v>
      </c>
      <c r="Q118" s="91">
        <v>48.57</v>
      </c>
      <c r="R118" s="138">
        <f t="shared" si="39"/>
        <v>1.471587720766048E-2</v>
      </c>
      <c r="S118" s="89">
        <f t="shared" si="34"/>
        <v>67.953815181295553</v>
      </c>
      <c r="T118" s="36">
        <f t="shared" si="35"/>
        <v>0.18941733580399422</v>
      </c>
      <c r="U118" s="89">
        <f t="shared" si="36"/>
        <v>5.2793478260869566</v>
      </c>
      <c r="V118" s="90">
        <v>3.83</v>
      </c>
      <c r="W118" s="90">
        <v>5.05</v>
      </c>
      <c r="X118" s="83">
        <f t="shared" si="37"/>
        <v>14.25</v>
      </c>
      <c r="Y118" s="90">
        <v>11.51</v>
      </c>
      <c r="Z118" s="143" t="s">
        <v>80</v>
      </c>
      <c r="AA118" s="143" t="s">
        <v>93</v>
      </c>
      <c r="AB118" s="151" t="s">
        <v>93</v>
      </c>
      <c r="AC118" s="151" t="s">
        <v>114</v>
      </c>
      <c r="AD118" s="35">
        <f t="shared" si="40"/>
        <v>20.71</v>
      </c>
      <c r="AE118" s="35"/>
      <c r="AF118" s="178"/>
      <c r="AG118" s="178"/>
      <c r="AH118" s="178"/>
      <c r="AI118" s="178"/>
      <c r="AJ118" s="36">
        <v>1.2929999999999999</v>
      </c>
      <c r="AK118" s="36">
        <v>22.815000000000001</v>
      </c>
      <c r="AL118" s="36">
        <v>4.1500000000000004</v>
      </c>
      <c r="AM118" s="36">
        <v>96.15</v>
      </c>
      <c r="AN118" s="36"/>
      <c r="AO118" s="36"/>
      <c r="AP118" s="244"/>
      <c r="AQ118" s="36"/>
      <c r="AR118" s="36"/>
      <c r="AS118" s="36"/>
      <c r="AT118" s="151" t="s">
        <v>94</v>
      </c>
      <c r="AU118" s="35"/>
      <c r="AV118" s="204" t="s">
        <v>397</v>
      </c>
      <c r="AW118" s="204" t="s">
        <v>401</v>
      </c>
      <c r="AX118" s="205" t="s">
        <v>402</v>
      </c>
      <c r="AY118" s="189"/>
      <c r="AZ118" s="189"/>
      <c r="BA118" s="189"/>
      <c r="BB118" s="126" t="s">
        <v>351</v>
      </c>
    </row>
    <row r="119" spans="1:54" s="213" customFormat="1" ht="25.5" customHeight="1" x14ac:dyDescent="0.2">
      <c r="A119" s="36" t="s">
        <v>192</v>
      </c>
      <c r="B119" s="37"/>
      <c r="C119" s="17"/>
      <c r="D119" s="17"/>
      <c r="E119" s="89" t="s">
        <v>268</v>
      </c>
      <c r="F119" s="89">
        <v>9.1999999999999993</v>
      </c>
      <c r="G119" s="18" t="s">
        <v>364</v>
      </c>
      <c r="H119" s="38">
        <v>9.1</v>
      </c>
      <c r="I119" s="90">
        <f t="shared" si="41"/>
        <v>29.855643044619423</v>
      </c>
      <c r="J119" s="90">
        <v>11.4</v>
      </c>
      <c r="K119" s="36">
        <f t="shared" si="30"/>
        <v>666.01760021597158</v>
      </c>
      <c r="L119" s="89">
        <f t="shared" si="31"/>
        <v>25.468238911718515</v>
      </c>
      <c r="M119" s="89">
        <f t="shared" si="32"/>
        <v>32.651588348357073</v>
      </c>
      <c r="N119" s="36">
        <f t="shared" si="38"/>
        <v>-23.451588348357074</v>
      </c>
      <c r="O119" s="36">
        <f t="shared" si="33"/>
        <v>9.1999999999999993</v>
      </c>
      <c r="P119" s="91">
        <v>-368.07</v>
      </c>
      <c r="Q119" s="91">
        <v>28.71</v>
      </c>
      <c r="R119" s="138">
        <f t="shared" si="39"/>
        <v>8.2291416775939E-2</v>
      </c>
      <c r="S119" s="89">
        <f t="shared" si="34"/>
        <v>12.151935635313885</v>
      </c>
      <c r="T119" s="36">
        <f t="shared" si="35"/>
        <v>0.32044583768721696</v>
      </c>
      <c r="U119" s="89">
        <f t="shared" si="36"/>
        <v>3.1206521739130437</v>
      </c>
      <c r="V119" s="90">
        <v>5.4</v>
      </c>
      <c r="W119" s="90">
        <v>6.28</v>
      </c>
      <c r="X119" s="83">
        <f t="shared" si="37"/>
        <v>15.48</v>
      </c>
      <c r="Y119" s="90">
        <v>13.13</v>
      </c>
      <c r="Z119" s="143" t="s">
        <v>80</v>
      </c>
      <c r="AA119" s="143" t="s">
        <v>93</v>
      </c>
      <c r="AB119" s="151" t="s">
        <v>94</v>
      </c>
      <c r="AC119" s="151" t="s">
        <v>403</v>
      </c>
      <c r="AD119" s="35">
        <f t="shared" si="40"/>
        <v>22.33</v>
      </c>
      <c r="AE119" s="35"/>
      <c r="AF119" s="178"/>
      <c r="AG119" s="178"/>
      <c r="AH119" s="178"/>
      <c r="AI119" s="178"/>
      <c r="AJ119" s="36">
        <v>5.92</v>
      </c>
      <c r="AK119" s="36">
        <v>24.63</v>
      </c>
      <c r="AL119" s="36">
        <v>15.56</v>
      </c>
      <c r="AM119" s="36">
        <v>53.56</v>
      </c>
      <c r="AN119" s="36"/>
      <c r="AO119" s="36"/>
      <c r="AP119" s="236"/>
      <c r="AQ119" s="236"/>
      <c r="AR119" s="36"/>
      <c r="AS119" s="36"/>
      <c r="AT119" s="151" t="s">
        <v>94</v>
      </c>
      <c r="AU119" s="35"/>
      <c r="AV119" s="204" t="s">
        <v>404</v>
      </c>
      <c r="AW119" s="204" t="s">
        <v>401</v>
      </c>
      <c r="AX119" s="205" t="s">
        <v>402</v>
      </c>
      <c r="AY119" s="189"/>
      <c r="AZ119" s="189"/>
      <c r="BA119" s="189"/>
      <c r="BB119" s="126" t="s">
        <v>352</v>
      </c>
    </row>
    <row r="120" spans="1:54" s="213" customFormat="1" ht="12.75" customHeight="1" x14ac:dyDescent="0.25">
      <c r="A120" s="36" t="s">
        <v>192</v>
      </c>
      <c r="B120" s="37"/>
      <c r="C120" s="17"/>
      <c r="D120" s="17"/>
      <c r="E120" s="89" t="s">
        <v>269</v>
      </c>
      <c r="F120" s="89">
        <v>9.1999999999999993</v>
      </c>
      <c r="G120" s="18" t="s">
        <v>364</v>
      </c>
      <c r="H120" s="38">
        <v>9.1</v>
      </c>
      <c r="I120" s="90">
        <f t="shared" si="41"/>
        <v>29.855643044619423</v>
      </c>
      <c r="J120" s="90">
        <v>11.4</v>
      </c>
      <c r="K120" s="36">
        <f t="shared" si="30"/>
        <v>666.01760021597158</v>
      </c>
      <c r="L120" s="89">
        <f t="shared" si="31"/>
        <v>25.468238911718515</v>
      </c>
      <c r="M120" s="89">
        <f t="shared" si="32"/>
        <v>32.651588348357073</v>
      </c>
      <c r="N120" s="36">
        <f t="shared" si="38"/>
        <v>-23.451588348357074</v>
      </c>
      <c r="O120" s="36">
        <f t="shared" si="33"/>
        <v>9.1999999999999993</v>
      </c>
      <c r="P120" s="91">
        <v>-462.53</v>
      </c>
      <c r="Q120" s="91">
        <v>91.21</v>
      </c>
      <c r="R120" s="138">
        <f t="shared" si="39"/>
        <v>5.8965558472129649E-2</v>
      </c>
      <c r="S120" s="89">
        <f t="shared" si="34"/>
        <v>16.959052469123222</v>
      </c>
      <c r="T120" s="36">
        <f t="shared" si="35"/>
        <v>0.10086613309944086</v>
      </c>
      <c r="U120" s="89">
        <f t="shared" si="36"/>
        <v>9.9141304347826082</v>
      </c>
      <c r="V120" s="90">
        <v>5.05</v>
      </c>
      <c r="W120" s="90">
        <v>5.95</v>
      </c>
      <c r="X120" s="83">
        <f t="shared" si="37"/>
        <v>15.149999999999999</v>
      </c>
      <c r="Y120" s="90">
        <v>6.09</v>
      </c>
      <c r="Z120" s="143" t="s">
        <v>80</v>
      </c>
      <c r="AA120" s="143" t="s">
        <v>93</v>
      </c>
      <c r="AB120" s="151" t="s">
        <v>94</v>
      </c>
      <c r="AC120" s="151" t="s">
        <v>114</v>
      </c>
      <c r="AD120" s="35">
        <f t="shared" si="40"/>
        <v>15.29</v>
      </c>
      <c r="AE120" s="35"/>
      <c r="AF120" s="178"/>
      <c r="AG120" s="178"/>
      <c r="AH120" s="178"/>
      <c r="AI120" s="178"/>
      <c r="AJ120" s="240">
        <v>4.97</v>
      </c>
      <c r="AK120" s="240">
        <v>17.399999999999999</v>
      </c>
      <c r="AL120" s="240">
        <v>51.33</v>
      </c>
      <c r="AM120" s="240">
        <v>129.33000000000001</v>
      </c>
      <c r="AN120" s="36"/>
      <c r="AO120" s="36"/>
      <c r="AP120" s="36"/>
      <c r="AQ120" s="36"/>
      <c r="AR120" s="36"/>
      <c r="AS120" s="36"/>
      <c r="AT120" s="35"/>
      <c r="AU120" s="35"/>
      <c r="AV120" s="204" t="s">
        <v>405</v>
      </c>
      <c r="AW120" s="126"/>
      <c r="AX120" s="189"/>
      <c r="AY120" s="189"/>
      <c r="AZ120" s="189"/>
      <c r="BA120" s="189"/>
      <c r="BB120" s="126"/>
    </row>
    <row r="121" spans="1:54" s="213" customFormat="1" ht="12.75" customHeight="1" x14ac:dyDescent="0.25">
      <c r="A121" s="36" t="s">
        <v>192</v>
      </c>
      <c r="B121" s="37"/>
      <c r="C121" s="17"/>
      <c r="D121" s="17"/>
      <c r="E121" s="89" t="s">
        <v>270</v>
      </c>
      <c r="F121" s="89">
        <v>9.1999999999999993</v>
      </c>
      <c r="G121" s="18" t="s">
        <v>364</v>
      </c>
      <c r="H121" s="38">
        <v>9.1</v>
      </c>
      <c r="I121" s="90">
        <f t="shared" si="41"/>
        <v>29.855643044619423</v>
      </c>
      <c r="J121" s="90">
        <v>11.4</v>
      </c>
      <c r="K121" s="36">
        <f t="shared" si="30"/>
        <v>666.01760021597158</v>
      </c>
      <c r="L121" s="89">
        <f t="shared" si="31"/>
        <v>25.468238911718515</v>
      </c>
      <c r="M121" s="89">
        <f t="shared" si="32"/>
        <v>32.651588348357073</v>
      </c>
      <c r="N121" s="36">
        <f t="shared" si="38"/>
        <v>-23.451588348357074</v>
      </c>
      <c r="O121" s="36">
        <f t="shared" si="33"/>
        <v>9.1999999999999993</v>
      </c>
      <c r="P121" s="91">
        <v>-1119.82</v>
      </c>
      <c r="Q121" s="91">
        <v>22.29</v>
      </c>
      <c r="R121" s="138">
        <f t="shared" si="39"/>
        <v>2.8588829752262984E-2</v>
      </c>
      <c r="S121" s="89">
        <f t="shared" si="34"/>
        <v>34.978696528172641</v>
      </c>
      <c r="T121" s="36">
        <f t="shared" si="35"/>
        <v>0.41274113952445041</v>
      </c>
      <c r="U121" s="89">
        <f t="shared" si="36"/>
        <v>2.4228260869565217</v>
      </c>
      <c r="V121" s="90">
        <v>4.37</v>
      </c>
      <c r="W121" s="90">
        <v>5.54</v>
      </c>
      <c r="X121" s="83">
        <f t="shared" si="37"/>
        <v>14.739999999999998</v>
      </c>
      <c r="Y121" s="90">
        <v>10.74</v>
      </c>
      <c r="Z121" s="143" t="s">
        <v>80</v>
      </c>
      <c r="AA121" s="143" t="s">
        <v>93</v>
      </c>
      <c r="AB121" s="151" t="s">
        <v>93</v>
      </c>
      <c r="AC121" s="151" t="s">
        <v>406</v>
      </c>
      <c r="AD121" s="35">
        <f t="shared" si="40"/>
        <v>19.939999999999998</v>
      </c>
      <c r="AE121" s="35"/>
      <c r="AF121" s="178"/>
      <c r="AG121" s="178"/>
      <c r="AH121" s="178"/>
      <c r="AI121" s="178"/>
      <c r="AJ121" s="36">
        <v>1.9259999999999999</v>
      </c>
      <c r="AK121" s="36">
        <v>24.172999999999998</v>
      </c>
      <c r="AL121" s="36">
        <v>12.07</v>
      </c>
      <c r="AM121" s="36">
        <v>72.069999999999993</v>
      </c>
      <c r="AN121" s="36"/>
      <c r="AO121" s="36"/>
      <c r="AP121" s="36"/>
      <c r="AQ121" s="36"/>
      <c r="AR121" s="36"/>
      <c r="AS121" s="36"/>
      <c r="AT121" s="35"/>
      <c r="AU121" s="35"/>
      <c r="AV121" s="204" t="s">
        <v>407</v>
      </c>
      <c r="AW121" s="126"/>
      <c r="AX121" s="189"/>
      <c r="AY121" s="189"/>
      <c r="AZ121" s="189"/>
      <c r="BA121" s="189"/>
      <c r="BB121" s="126" t="s">
        <v>349</v>
      </c>
    </row>
    <row r="122" spans="1:54" s="213" customFormat="1" ht="12.75" customHeight="1" x14ac:dyDescent="0.25">
      <c r="A122" s="36" t="s">
        <v>192</v>
      </c>
      <c r="B122" s="37"/>
      <c r="C122" s="17"/>
      <c r="D122" s="17"/>
      <c r="E122" s="89" t="s">
        <v>271</v>
      </c>
      <c r="F122" s="89">
        <v>9.1999999999999993</v>
      </c>
      <c r="G122" s="18" t="s">
        <v>364</v>
      </c>
      <c r="H122" s="38">
        <v>9.1</v>
      </c>
      <c r="I122" s="90">
        <f t="shared" si="41"/>
        <v>29.855643044619423</v>
      </c>
      <c r="J122" s="90">
        <v>11.4</v>
      </c>
      <c r="K122" s="36">
        <f t="shared" si="30"/>
        <v>666.01760021597158</v>
      </c>
      <c r="L122" s="89">
        <f t="shared" si="31"/>
        <v>25.468238911718515</v>
      </c>
      <c r="M122" s="89">
        <f t="shared" si="32"/>
        <v>32.651588348357073</v>
      </c>
      <c r="N122" s="36">
        <f t="shared" si="38"/>
        <v>-23.451588348357074</v>
      </c>
      <c r="O122" s="36">
        <f t="shared" si="33"/>
        <v>9.1999999999999993</v>
      </c>
      <c r="P122" s="91">
        <v>-917.4</v>
      </c>
      <c r="Q122" s="91">
        <v>75.62</v>
      </c>
      <c r="R122" s="138">
        <f t="shared" si="39"/>
        <v>3.2881098415295837E-2</v>
      </c>
      <c r="S122" s="89">
        <f t="shared" si="34"/>
        <v>30.412609316445881</v>
      </c>
      <c r="T122" s="36">
        <f t="shared" si="35"/>
        <v>0.1216609362602486</v>
      </c>
      <c r="U122" s="89">
        <f t="shared" si="36"/>
        <v>8.2195652173913061</v>
      </c>
      <c r="V122" s="90">
        <v>4.49</v>
      </c>
      <c r="W122" s="90"/>
      <c r="X122" s="83">
        <f t="shared" si="37"/>
        <v>13.69</v>
      </c>
      <c r="Y122" s="90">
        <v>6.29</v>
      </c>
      <c r="Z122" s="124" t="s">
        <v>79</v>
      </c>
      <c r="AA122" s="90"/>
      <c r="AB122" s="233" t="s">
        <v>93</v>
      </c>
      <c r="AC122" s="35"/>
      <c r="AD122" s="35">
        <f t="shared" si="40"/>
        <v>15.489999999999998</v>
      </c>
      <c r="AE122" s="35"/>
      <c r="AF122" s="178"/>
      <c r="AG122" s="178"/>
      <c r="AH122" s="178"/>
      <c r="AI122" s="178"/>
      <c r="AJ122" s="36" t="s">
        <v>346</v>
      </c>
      <c r="AK122" s="36" t="s">
        <v>346</v>
      </c>
      <c r="AL122" s="36"/>
      <c r="AM122" s="36"/>
      <c r="AN122" s="36"/>
      <c r="AO122" s="36"/>
      <c r="AP122" s="36"/>
      <c r="AQ122" s="36"/>
      <c r="AR122" s="36"/>
      <c r="AS122" s="36"/>
      <c r="AT122" s="35"/>
      <c r="AU122" s="35"/>
      <c r="AV122" s="249" t="s">
        <v>397</v>
      </c>
      <c r="AW122" s="249" t="s">
        <v>408</v>
      </c>
      <c r="AX122" s="189"/>
      <c r="AY122" s="189"/>
      <c r="AZ122" s="189"/>
      <c r="BA122" s="189"/>
      <c r="BB122" s="126"/>
    </row>
    <row r="123" spans="1:54" s="213" customFormat="1" ht="12.75" customHeight="1" x14ac:dyDescent="0.25">
      <c r="A123" s="36" t="s">
        <v>192</v>
      </c>
      <c r="B123" s="37"/>
      <c r="C123" s="17"/>
      <c r="D123" s="17"/>
      <c r="E123" s="89" t="s">
        <v>272</v>
      </c>
      <c r="F123" s="89">
        <v>9.1999999999999993</v>
      </c>
      <c r="G123" s="18" t="s">
        <v>364</v>
      </c>
      <c r="H123" s="38">
        <v>9.1</v>
      </c>
      <c r="I123" s="90">
        <f t="shared" si="41"/>
        <v>29.855643044619423</v>
      </c>
      <c r="J123" s="90">
        <v>11.4</v>
      </c>
      <c r="K123" s="36">
        <f t="shared" si="30"/>
        <v>666.01760021597158</v>
      </c>
      <c r="L123" s="89">
        <f t="shared" si="31"/>
        <v>25.468238911718515</v>
      </c>
      <c r="M123" s="89">
        <f t="shared" si="32"/>
        <v>32.651588348357073</v>
      </c>
      <c r="N123" s="36">
        <f t="shared" si="38"/>
        <v>-23.451588348357074</v>
      </c>
      <c r="O123" s="36">
        <f t="shared" si="33"/>
        <v>9.1999999999999993</v>
      </c>
      <c r="P123" s="91">
        <v>-2037.11</v>
      </c>
      <c r="Q123" s="91">
        <v>75.150000000000006</v>
      </c>
      <c r="R123" s="138">
        <f t="shared" si="39"/>
        <v>1.5458129372500108E-2</v>
      </c>
      <c r="S123" s="89">
        <f t="shared" si="34"/>
        <v>64.690880500650493</v>
      </c>
      <c r="T123" s="36">
        <f t="shared" si="35"/>
        <v>0.1224218230206254</v>
      </c>
      <c r="U123" s="89">
        <f t="shared" si="36"/>
        <v>8.1684782608695663</v>
      </c>
      <c r="V123" s="90">
        <v>3.86</v>
      </c>
      <c r="W123" s="90">
        <v>4.66</v>
      </c>
      <c r="X123" s="83">
        <f t="shared" si="37"/>
        <v>13.86</v>
      </c>
      <c r="Y123" s="90">
        <v>4.8</v>
      </c>
      <c r="Z123" s="225" t="s">
        <v>80</v>
      </c>
      <c r="AA123" s="225" t="s">
        <v>93</v>
      </c>
      <c r="AB123" s="233" t="s">
        <v>94</v>
      </c>
      <c r="AC123" s="233" t="s">
        <v>114</v>
      </c>
      <c r="AD123" s="35">
        <f t="shared" si="40"/>
        <v>14</v>
      </c>
      <c r="AE123" s="35"/>
      <c r="AF123" s="178"/>
      <c r="AG123" s="178"/>
      <c r="AH123" s="178"/>
      <c r="AI123" s="178"/>
      <c r="AJ123" s="36">
        <v>5.38</v>
      </c>
      <c r="AK123" s="36">
        <v>18.928999999999998</v>
      </c>
      <c r="AL123" s="36">
        <v>60.25</v>
      </c>
      <c r="AM123" s="36">
        <v>92.153000000000006</v>
      </c>
      <c r="AN123" s="36"/>
      <c r="AO123" s="36"/>
      <c r="AP123" s="36"/>
      <c r="AQ123" s="36"/>
      <c r="AR123" s="36"/>
      <c r="AS123" s="36"/>
      <c r="AT123" s="35"/>
      <c r="AU123" s="35"/>
      <c r="AV123" s="249" t="s">
        <v>409</v>
      </c>
      <c r="AW123" s="201" t="s">
        <v>515</v>
      </c>
      <c r="AX123" s="189"/>
      <c r="AY123" s="189"/>
      <c r="AZ123" s="189"/>
      <c r="BA123" s="189"/>
      <c r="BB123" s="126" t="s">
        <v>353</v>
      </c>
    </row>
    <row r="124" spans="1:54" s="213" customFormat="1" ht="25.5" customHeight="1" x14ac:dyDescent="0.25">
      <c r="A124" s="36" t="s">
        <v>192</v>
      </c>
      <c r="B124" s="37"/>
      <c r="C124" s="17"/>
      <c r="D124" s="17"/>
      <c r="E124" s="89" t="s">
        <v>273</v>
      </c>
      <c r="F124" s="89">
        <v>9.1999999999999993</v>
      </c>
      <c r="G124" s="18" t="s">
        <v>364</v>
      </c>
      <c r="H124" s="38">
        <v>9.1</v>
      </c>
      <c r="I124" s="90">
        <f t="shared" si="41"/>
        <v>29.855643044619423</v>
      </c>
      <c r="J124" s="90">
        <v>11.4</v>
      </c>
      <c r="K124" s="36">
        <f t="shared" si="30"/>
        <v>666.01760021597158</v>
      </c>
      <c r="L124" s="89">
        <f t="shared" si="31"/>
        <v>25.468238911718515</v>
      </c>
      <c r="M124" s="89">
        <f t="shared" si="32"/>
        <v>32.651588348357073</v>
      </c>
      <c r="N124" s="36">
        <f t="shared" si="38"/>
        <v>-23.451588348357074</v>
      </c>
      <c r="O124" s="36">
        <f t="shared" si="33"/>
        <v>9.1999999999999993</v>
      </c>
      <c r="P124" s="91">
        <v>-1957.42</v>
      </c>
      <c r="Q124" s="91">
        <v>183.02</v>
      </c>
      <c r="R124" s="138">
        <f t="shared" si="39"/>
        <v>1.5254615101734724E-2</v>
      </c>
      <c r="S124" s="89">
        <f t="shared" si="34"/>
        <v>65.553931930165973</v>
      </c>
      <c r="T124" s="36">
        <f t="shared" si="35"/>
        <v>5.0267730302699154E-2</v>
      </c>
      <c r="U124" s="89">
        <f t="shared" si="36"/>
        <v>19.893478260869568</v>
      </c>
      <c r="V124" s="90">
        <v>3.85</v>
      </c>
      <c r="W124" s="90">
        <v>4.63</v>
      </c>
      <c r="X124" s="83">
        <f t="shared" si="37"/>
        <v>13.829999999999998</v>
      </c>
      <c r="Y124" s="90">
        <v>4.42</v>
      </c>
      <c r="Z124" s="225" t="s">
        <v>80</v>
      </c>
      <c r="AA124" s="225" t="s">
        <v>93</v>
      </c>
      <c r="AB124" s="233" t="s">
        <v>94</v>
      </c>
      <c r="AC124" s="233" t="s">
        <v>114</v>
      </c>
      <c r="AD124" s="35">
        <f t="shared" si="40"/>
        <v>13.62</v>
      </c>
      <c r="AE124" s="35"/>
      <c r="AF124" s="178"/>
      <c r="AG124" s="178"/>
      <c r="AH124" s="178"/>
      <c r="AI124" s="178"/>
      <c r="AJ124" s="36">
        <v>5.84</v>
      </c>
      <c r="AK124" s="36">
        <v>14.253</v>
      </c>
      <c r="AL124" s="36">
        <v>167.7</v>
      </c>
      <c r="AM124" s="36">
        <v>191.73500000000001</v>
      </c>
      <c r="AN124" s="36"/>
      <c r="AO124" s="36"/>
      <c r="AP124" s="36"/>
      <c r="AQ124" s="36"/>
      <c r="AR124" s="36"/>
      <c r="AS124" s="36"/>
      <c r="AT124" s="35"/>
      <c r="AU124" s="35"/>
      <c r="AV124" s="126"/>
      <c r="AW124" s="201" t="s">
        <v>516</v>
      </c>
      <c r="AX124" s="189"/>
      <c r="AY124" s="208" t="s">
        <v>512</v>
      </c>
      <c r="AZ124" s="189"/>
      <c r="BA124" s="189"/>
      <c r="BB124" s="126" t="s">
        <v>353</v>
      </c>
    </row>
    <row r="125" spans="1:54" s="213" customFormat="1" ht="12.75" customHeight="1" x14ac:dyDescent="0.25">
      <c r="A125" s="36" t="s">
        <v>192</v>
      </c>
      <c r="B125" s="37"/>
      <c r="C125" s="17"/>
      <c r="D125" s="17"/>
      <c r="E125" s="89" t="s">
        <v>249</v>
      </c>
      <c r="F125" s="89">
        <v>9.1999999999999993</v>
      </c>
      <c r="G125" s="38" t="s">
        <v>364</v>
      </c>
      <c r="H125" s="38">
        <v>9.1</v>
      </c>
      <c r="I125" s="90">
        <f t="shared" si="41"/>
        <v>29.855643044619423</v>
      </c>
      <c r="J125" s="90">
        <v>11.4</v>
      </c>
      <c r="K125" s="36">
        <f t="shared" si="30"/>
        <v>666.01760021597158</v>
      </c>
      <c r="L125" s="89">
        <f t="shared" si="31"/>
        <v>25.468238911718515</v>
      </c>
      <c r="M125" s="89">
        <f t="shared" si="32"/>
        <v>32.651588348357073</v>
      </c>
      <c r="N125" s="36">
        <f t="shared" si="38"/>
        <v>-23.451588348357074</v>
      </c>
      <c r="O125" s="36">
        <f t="shared" si="33"/>
        <v>9.1999999999999993</v>
      </c>
      <c r="P125" s="91">
        <v>-1837.99</v>
      </c>
      <c r="Q125" s="91">
        <v>172.34</v>
      </c>
      <c r="R125" s="138">
        <f t="shared" si="39"/>
        <v>1.6241904736215982E-2</v>
      </c>
      <c r="S125" s="89">
        <f t="shared" si="34"/>
        <v>61.569133438531587</v>
      </c>
      <c r="T125" s="36">
        <f t="shared" si="35"/>
        <v>5.33828478588836E-2</v>
      </c>
      <c r="U125" s="89">
        <f t="shared" si="36"/>
        <v>18.732608695652175</v>
      </c>
      <c r="V125" s="90">
        <v>3.9</v>
      </c>
      <c r="W125" s="90"/>
      <c r="X125" s="83">
        <f t="shared" si="37"/>
        <v>13.1</v>
      </c>
      <c r="Y125" s="90">
        <v>6.07</v>
      </c>
      <c r="Z125" s="124" t="s">
        <v>79</v>
      </c>
      <c r="AA125" s="90"/>
      <c r="AB125" s="125" t="s">
        <v>93</v>
      </c>
      <c r="AC125" s="35"/>
      <c r="AD125" s="35">
        <f t="shared" si="40"/>
        <v>15.27</v>
      </c>
      <c r="AE125" s="35"/>
      <c r="AF125" s="178"/>
      <c r="AG125" s="178"/>
      <c r="AH125" s="178"/>
      <c r="AI125" s="178"/>
      <c r="AJ125" s="36" t="s">
        <v>346</v>
      </c>
      <c r="AK125" s="36" t="s">
        <v>346</v>
      </c>
      <c r="AL125" s="36"/>
      <c r="AM125" s="36"/>
      <c r="AN125" s="36"/>
      <c r="AO125" s="36"/>
      <c r="AP125" s="36"/>
      <c r="AQ125" s="36"/>
      <c r="AR125" s="36"/>
      <c r="AS125" s="36"/>
      <c r="AT125" s="35"/>
      <c r="AU125" s="35"/>
      <c r="AV125" s="126"/>
      <c r="AW125" s="126"/>
      <c r="AX125" s="251" t="s">
        <v>410</v>
      </c>
      <c r="AY125" s="126"/>
      <c r="AZ125" s="189"/>
      <c r="BA125" s="189"/>
      <c r="BB125" s="126"/>
    </row>
    <row r="126" spans="1:54" s="213" customFormat="1" ht="12.75" customHeight="1" x14ac:dyDescent="0.25">
      <c r="A126" s="36" t="s">
        <v>192</v>
      </c>
      <c r="B126" s="37"/>
      <c r="C126" s="17"/>
      <c r="D126" s="17"/>
      <c r="E126" s="89" t="s">
        <v>250</v>
      </c>
      <c r="F126" s="89">
        <v>9.1999999999999993</v>
      </c>
      <c r="G126" s="38" t="s">
        <v>364</v>
      </c>
      <c r="H126" s="38">
        <v>9.1</v>
      </c>
      <c r="I126" s="90">
        <f t="shared" si="41"/>
        <v>29.855643044619423</v>
      </c>
      <c r="J126" s="90">
        <v>11.4</v>
      </c>
      <c r="K126" s="36">
        <f t="shared" si="30"/>
        <v>666.01760021597158</v>
      </c>
      <c r="L126" s="89">
        <f t="shared" si="31"/>
        <v>25.468238911718515</v>
      </c>
      <c r="M126" s="89">
        <f t="shared" si="32"/>
        <v>32.651588348357073</v>
      </c>
      <c r="N126" s="36">
        <f t="shared" si="38"/>
        <v>-23.451588348357074</v>
      </c>
      <c r="O126" s="36">
        <f t="shared" si="33"/>
        <v>9.1999999999999993</v>
      </c>
      <c r="P126" s="91">
        <v>-2027.24</v>
      </c>
      <c r="Q126" s="91">
        <v>241.41</v>
      </c>
      <c r="R126" s="138">
        <f t="shared" si="39"/>
        <v>1.439251905245722E-2</v>
      </c>
      <c r="S126" s="89">
        <f t="shared" si="34"/>
        <v>69.480540297028199</v>
      </c>
      <c r="T126" s="36">
        <f t="shared" si="35"/>
        <v>3.8109440371152811E-2</v>
      </c>
      <c r="U126" s="89">
        <f t="shared" si="36"/>
        <v>26.240217391304348</v>
      </c>
      <c r="V126" s="90">
        <v>3.81</v>
      </c>
      <c r="W126" s="90">
        <v>4.57</v>
      </c>
      <c r="X126" s="83">
        <f t="shared" si="37"/>
        <v>13.77</v>
      </c>
      <c r="Y126" s="90">
        <v>3.96</v>
      </c>
      <c r="Z126" s="225" t="s">
        <v>80</v>
      </c>
      <c r="AA126" s="225" t="s">
        <v>93</v>
      </c>
      <c r="AB126" s="233" t="s">
        <v>94</v>
      </c>
      <c r="AC126" s="233" t="s">
        <v>114</v>
      </c>
      <c r="AD126" s="35">
        <f t="shared" si="40"/>
        <v>13.16</v>
      </c>
      <c r="AE126" s="35"/>
      <c r="AF126" s="178">
        <v>4.95</v>
      </c>
      <c r="AG126" s="178">
        <v>4.78</v>
      </c>
      <c r="AH126" s="238" t="s">
        <v>80</v>
      </c>
      <c r="AI126" s="238" t="s">
        <v>93</v>
      </c>
      <c r="AJ126" s="35">
        <v>6.05</v>
      </c>
      <c r="AK126" s="35">
        <v>15.215999999999999</v>
      </c>
      <c r="AL126" s="35">
        <v>225.94</v>
      </c>
      <c r="AM126" s="35">
        <v>249.94</v>
      </c>
      <c r="AN126" s="35">
        <v>265.14999999999998</v>
      </c>
      <c r="AO126" s="35">
        <v>15.31</v>
      </c>
      <c r="AP126" s="35"/>
      <c r="AQ126" s="36"/>
      <c r="AR126" s="36"/>
      <c r="AS126" s="36"/>
      <c r="AT126" s="35"/>
      <c r="AU126" s="35"/>
      <c r="AV126" s="249" t="s">
        <v>413</v>
      </c>
      <c r="AW126" s="126"/>
      <c r="AX126" s="189"/>
      <c r="AY126" s="208" t="s">
        <v>513</v>
      </c>
      <c r="AZ126" s="189"/>
      <c r="BA126" s="189"/>
      <c r="BB126" s="126"/>
    </row>
    <row r="127" spans="1:54" s="213" customFormat="1" ht="12.75" customHeight="1" x14ac:dyDescent="0.25">
      <c r="A127" s="36" t="s">
        <v>192</v>
      </c>
      <c r="B127" s="37"/>
      <c r="C127" s="17"/>
      <c r="D127" s="17"/>
      <c r="E127" s="89" t="s">
        <v>251</v>
      </c>
      <c r="F127" s="89">
        <v>9.1999999999999993</v>
      </c>
      <c r="G127" s="38" t="s">
        <v>364</v>
      </c>
      <c r="H127" s="38">
        <v>9.1</v>
      </c>
      <c r="I127" s="90">
        <f t="shared" si="41"/>
        <v>29.855643044619423</v>
      </c>
      <c r="J127" s="90">
        <v>11.4</v>
      </c>
      <c r="K127" s="36">
        <f t="shared" si="30"/>
        <v>666.01760021597158</v>
      </c>
      <c r="L127" s="89">
        <f t="shared" si="31"/>
        <v>25.468238911718515</v>
      </c>
      <c r="M127" s="89">
        <f t="shared" si="32"/>
        <v>32.651588348357073</v>
      </c>
      <c r="N127" s="36">
        <f t="shared" si="38"/>
        <v>-23.451588348357074</v>
      </c>
      <c r="O127" s="36">
        <f t="shared" si="33"/>
        <v>9.1999999999999993</v>
      </c>
      <c r="P127" s="91">
        <v>-3267.6</v>
      </c>
      <c r="Q127" s="91">
        <v>108.5</v>
      </c>
      <c r="R127" s="138">
        <f t="shared" si="39"/>
        <v>9.6713925382414835E-3</v>
      </c>
      <c r="S127" s="89">
        <f t="shared" si="34"/>
        <v>103.39772644383088</v>
      </c>
      <c r="T127" s="36">
        <f t="shared" si="35"/>
        <v>8.4792626728110596E-2</v>
      </c>
      <c r="U127" s="89">
        <f t="shared" si="36"/>
        <v>11.793478260869566</v>
      </c>
      <c r="V127" s="90">
        <v>3.52</v>
      </c>
      <c r="W127" s="90">
        <v>4.51</v>
      </c>
      <c r="X127" s="83">
        <f t="shared" si="37"/>
        <v>13.709999999999999</v>
      </c>
      <c r="Y127" s="90">
        <v>7.19</v>
      </c>
      <c r="Z127" s="146" t="s">
        <v>80</v>
      </c>
      <c r="AA127" s="146" t="s">
        <v>93</v>
      </c>
      <c r="AB127" s="234" t="s">
        <v>93</v>
      </c>
      <c r="AC127" s="234" t="s">
        <v>109</v>
      </c>
      <c r="AD127" s="35">
        <f t="shared" si="40"/>
        <v>16.39</v>
      </c>
      <c r="AE127" s="35"/>
      <c r="AF127" s="178"/>
      <c r="AG127" s="178"/>
      <c r="AH127" s="178"/>
      <c r="AI127" s="178"/>
      <c r="AJ127" s="36">
        <v>3.45</v>
      </c>
      <c r="AK127" s="36">
        <v>52.765000000000001</v>
      </c>
      <c r="AL127" s="36">
        <v>72.17</v>
      </c>
      <c r="AM127" s="36">
        <v>166.17</v>
      </c>
      <c r="AN127" s="36"/>
      <c r="AO127" s="36"/>
      <c r="AP127" s="36"/>
      <c r="AQ127" s="36"/>
      <c r="AR127" s="36"/>
      <c r="AS127" s="36"/>
      <c r="AT127" s="35"/>
      <c r="AU127" s="35"/>
      <c r="AV127" s="126"/>
      <c r="AW127" s="126"/>
      <c r="AX127" s="189"/>
      <c r="AY127" s="189"/>
      <c r="AZ127" s="189"/>
      <c r="BA127" s="189"/>
      <c r="BB127" s="126" t="s">
        <v>109</v>
      </c>
    </row>
    <row r="128" spans="1:54" s="213" customFormat="1" ht="12.75" customHeight="1" x14ac:dyDescent="0.25">
      <c r="A128" s="36" t="s">
        <v>192</v>
      </c>
      <c r="B128" s="37"/>
      <c r="C128" s="17"/>
      <c r="D128" s="17"/>
      <c r="E128" s="89" t="s">
        <v>252</v>
      </c>
      <c r="F128" s="89">
        <v>9.1999999999999993</v>
      </c>
      <c r="G128" s="38" t="s">
        <v>364</v>
      </c>
      <c r="H128" s="38">
        <v>9.1</v>
      </c>
      <c r="I128" s="90">
        <f t="shared" si="41"/>
        <v>29.855643044619423</v>
      </c>
      <c r="J128" s="90">
        <v>11.4</v>
      </c>
      <c r="K128" s="36">
        <f t="shared" si="30"/>
        <v>666.01760021597158</v>
      </c>
      <c r="L128" s="89">
        <f t="shared" si="31"/>
        <v>25.468238911718515</v>
      </c>
      <c r="M128" s="89">
        <f t="shared" si="32"/>
        <v>32.651588348357073</v>
      </c>
      <c r="N128" s="36">
        <f t="shared" si="38"/>
        <v>-23.451588348357074</v>
      </c>
      <c r="O128" s="36">
        <f t="shared" si="33"/>
        <v>9.1999999999999993</v>
      </c>
      <c r="P128" s="91">
        <v>-229.8</v>
      </c>
      <c r="Q128" s="91">
        <v>47.34</v>
      </c>
      <c r="R128" s="138">
        <f t="shared" si="39"/>
        <v>0.1178162241046297</v>
      </c>
      <c r="S128" s="89">
        <f t="shared" si="34"/>
        <v>8.487795357555548</v>
      </c>
      <c r="T128" s="36">
        <f t="shared" si="35"/>
        <v>0.1943388255175327</v>
      </c>
      <c r="U128" s="89">
        <f t="shared" si="36"/>
        <v>5.1456521739130441</v>
      </c>
      <c r="V128" s="90">
        <v>5.8</v>
      </c>
      <c r="W128" s="90">
        <v>6.74</v>
      </c>
      <c r="X128" s="83">
        <f t="shared" si="37"/>
        <v>15.94</v>
      </c>
      <c r="Y128" s="90">
        <v>7.96</v>
      </c>
      <c r="Z128" s="225" t="s">
        <v>80</v>
      </c>
      <c r="AA128" s="225" t="s">
        <v>93</v>
      </c>
      <c r="AB128" s="233" t="s">
        <v>93</v>
      </c>
      <c r="AC128" s="233" t="s">
        <v>109</v>
      </c>
      <c r="AD128" s="35">
        <f t="shared" si="40"/>
        <v>17.16</v>
      </c>
      <c r="AE128" s="35"/>
      <c r="AF128" s="178"/>
      <c r="AG128" s="178"/>
      <c r="AH128" s="178"/>
      <c r="AI128" s="178"/>
      <c r="AJ128" s="36">
        <v>5.03</v>
      </c>
      <c r="AK128" s="36">
        <v>25.31</v>
      </c>
      <c r="AL128" s="36">
        <v>25.74</v>
      </c>
      <c r="AM128" s="36">
        <v>63.74</v>
      </c>
      <c r="AN128" s="36"/>
      <c r="AO128" s="36"/>
      <c r="AP128" s="36"/>
      <c r="AQ128" s="36"/>
      <c r="AR128" s="36"/>
      <c r="AS128" s="36"/>
      <c r="AT128" s="35"/>
      <c r="AU128" s="35"/>
      <c r="AV128" s="249" t="s">
        <v>411</v>
      </c>
      <c r="AW128" s="249" t="s">
        <v>412</v>
      </c>
      <c r="AX128" s="189"/>
      <c r="AY128" s="189"/>
      <c r="AZ128" s="189"/>
      <c r="BA128" s="189"/>
      <c r="BB128" s="126" t="s">
        <v>355</v>
      </c>
    </row>
    <row r="129" spans="1:54" s="214" customFormat="1" ht="12.75" customHeight="1" x14ac:dyDescent="0.25">
      <c r="A129" s="36" t="s">
        <v>192</v>
      </c>
      <c r="B129" s="37"/>
      <c r="C129" s="17"/>
      <c r="D129" s="17"/>
      <c r="E129" s="89" t="s">
        <v>253</v>
      </c>
      <c r="F129" s="89">
        <v>9.1999999999999993</v>
      </c>
      <c r="G129" s="38" t="s">
        <v>364</v>
      </c>
      <c r="H129" s="38">
        <v>9.1</v>
      </c>
      <c r="I129" s="90">
        <f t="shared" si="41"/>
        <v>29.855643044619423</v>
      </c>
      <c r="J129" s="90">
        <v>11.4</v>
      </c>
      <c r="K129" s="36">
        <f t="shared" si="30"/>
        <v>666.01760021597158</v>
      </c>
      <c r="L129" s="89">
        <f t="shared" si="31"/>
        <v>25.468238911718515</v>
      </c>
      <c r="M129" s="89">
        <f t="shared" si="32"/>
        <v>32.651588348357073</v>
      </c>
      <c r="N129" s="36">
        <f t="shared" si="38"/>
        <v>-23.451588348357074</v>
      </c>
      <c r="O129" s="36">
        <f t="shared" si="33"/>
        <v>9.1999999999999993</v>
      </c>
      <c r="P129" s="91">
        <v>-441.27</v>
      </c>
      <c r="Q129" s="91">
        <v>51.74</v>
      </c>
      <c r="R129" s="138">
        <f t="shared" si="39"/>
        <v>6.6229058940705202E-2</v>
      </c>
      <c r="S129" s="89">
        <f t="shared" si="34"/>
        <v>15.099112323116335</v>
      </c>
      <c r="T129" s="36">
        <f t="shared" si="35"/>
        <v>0.17781213761113257</v>
      </c>
      <c r="U129" s="89">
        <f t="shared" si="36"/>
        <v>5.6239130434782609</v>
      </c>
      <c r="V129" s="90">
        <v>5.17</v>
      </c>
      <c r="W129" s="90">
        <v>6.29</v>
      </c>
      <c r="X129" s="83">
        <f t="shared" si="37"/>
        <v>15.489999999999998</v>
      </c>
      <c r="Y129" s="90">
        <v>7.91</v>
      </c>
      <c r="Z129" s="225" t="s">
        <v>80</v>
      </c>
      <c r="AA129" s="225" t="s">
        <v>93</v>
      </c>
      <c r="AB129" s="233" t="s">
        <v>94</v>
      </c>
      <c r="AC129" s="233" t="s">
        <v>414</v>
      </c>
      <c r="AD129" s="35">
        <f t="shared" si="40"/>
        <v>17.11</v>
      </c>
      <c r="AE129" s="35"/>
      <c r="AF129" s="178"/>
      <c r="AG129" s="178"/>
      <c r="AH129" s="178"/>
      <c r="AI129" s="178"/>
      <c r="AJ129" s="36">
        <v>2.6680000000000001</v>
      </c>
      <c r="AK129" s="36">
        <v>18.683</v>
      </c>
      <c r="AL129" s="36">
        <v>22.59</v>
      </c>
      <c r="AM129" s="36">
        <v>132.59</v>
      </c>
      <c r="AN129" s="36"/>
      <c r="AO129" s="36"/>
      <c r="AP129" s="36"/>
      <c r="AQ129" s="36"/>
      <c r="AR129" s="36"/>
      <c r="AS129" s="36"/>
      <c r="AT129" s="35"/>
      <c r="AU129" s="35"/>
      <c r="AV129" s="126"/>
      <c r="AW129" s="126"/>
      <c r="AX129" s="189"/>
      <c r="AY129" s="189"/>
      <c r="AZ129" s="189"/>
      <c r="BA129" s="189"/>
      <c r="BB129" s="126" t="s">
        <v>355</v>
      </c>
    </row>
    <row r="130" spans="1:54" s="214" customFormat="1" ht="12.75" customHeight="1" x14ac:dyDescent="0.25">
      <c r="A130" s="36" t="s">
        <v>192</v>
      </c>
      <c r="B130" s="37"/>
      <c r="C130" s="17"/>
      <c r="D130" s="17"/>
      <c r="E130" s="89" t="s">
        <v>254</v>
      </c>
      <c r="F130" s="89">
        <v>9.1999999999999993</v>
      </c>
      <c r="G130" s="38" t="s">
        <v>364</v>
      </c>
      <c r="H130" s="38">
        <v>9.1</v>
      </c>
      <c r="I130" s="90">
        <f t="shared" si="41"/>
        <v>29.855643044619423</v>
      </c>
      <c r="J130" s="90">
        <v>11.4</v>
      </c>
      <c r="K130" s="36">
        <f t="shared" si="30"/>
        <v>666.01760021597158</v>
      </c>
      <c r="L130" s="89">
        <f t="shared" si="31"/>
        <v>25.468238911718515</v>
      </c>
      <c r="M130" s="89">
        <f t="shared" si="32"/>
        <v>32.651588348357073</v>
      </c>
      <c r="N130" s="36">
        <f t="shared" si="38"/>
        <v>-23.451588348357074</v>
      </c>
      <c r="O130" s="36">
        <f t="shared" si="33"/>
        <v>9.1999999999999993</v>
      </c>
      <c r="P130" s="91">
        <v>-203.11</v>
      </c>
      <c r="Q130" s="91">
        <v>44.01</v>
      </c>
      <c r="R130" s="138">
        <f t="shared" si="39"/>
        <v>0.13212847340707784</v>
      </c>
      <c r="S130" s="89">
        <f t="shared" si="34"/>
        <v>7.5683913861554704</v>
      </c>
      <c r="T130" s="36">
        <f t="shared" si="35"/>
        <v>0.2090433992274483</v>
      </c>
      <c r="U130" s="89">
        <f t="shared" si="36"/>
        <v>4.7836956521739129</v>
      </c>
      <c r="V130" s="90">
        <v>5.94</v>
      </c>
      <c r="W130" s="90">
        <v>7.25</v>
      </c>
      <c r="X130" s="83">
        <f t="shared" si="37"/>
        <v>16.45</v>
      </c>
      <c r="Y130" s="90">
        <v>13.03</v>
      </c>
      <c r="Z130" s="145" t="s">
        <v>80</v>
      </c>
      <c r="AA130" s="145" t="s">
        <v>93</v>
      </c>
      <c r="AB130" s="232" t="s">
        <v>94</v>
      </c>
      <c r="AC130" s="154" t="s">
        <v>415</v>
      </c>
      <c r="AD130" s="35">
        <f t="shared" si="40"/>
        <v>22.229999999999997</v>
      </c>
      <c r="AE130" s="35"/>
      <c r="AF130" s="178"/>
      <c r="AG130" s="178"/>
      <c r="AH130" s="178"/>
      <c r="AI130" s="178"/>
      <c r="AJ130" s="36">
        <v>0.47</v>
      </c>
      <c r="AK130" s="36">
        <v>44.12</v>
      </c>
      <c r="AL130" s="36">
        <v>8.8000000000000007</v>
      </c>
      <c r="AM130" s="36">
        <v>162.80000000000001</v>
      </c>
      <c r="AN130" s="36"/>
      <c r="AO130" s="36"/>
      <c r="AP130" s="36"/>
      <c r="AQ130" s="36"/>
      <c r="AR130" s="36"/>
      <c r="AS130" s="36"/>
      <c r="AT130" s="154" t="s">
        <v>387</v>
      </c>
      <c r="AU130" s="35"/>
      <c r="AV130" s="198" t="s">
        <v>416</v>
      </c>
      <c r="AW130" s="198" t="s">
        <v>417</v>
      </c>
      <c r="AX130" s="199" t="s">
        <v>418</v>
      </c>
      <c r="AY130" s="189"/>
      <c r="AZ130" s="189"/>
      <c r="BA130" s="189"/>
      <c r="BB130" s="126"/>
    </row>
    <row r="131" spans="1:54" s="214" customFormat="1" ht="12.75" customHeight="1" x14ac:dyDescent="0.25">
      <c r="A131" s="36" t="s">
        <v>192</v>
      </c>
      <c r="B131" s="37"/>
      <c r="C131" s="17"/>
      <c r="D131" s="17"/>
      <c r="E131" s="89" t="s">
        <v>255</v>
      </c>
      <c r="F131" s="89">
        <v>9.1999999999999993</v>
      </c>
      <c r="G131" s="38" t="s">
        <v>364</v>
      </c>
      <c r="H131" s="38">
        <v>9.1</v>
      </c>
      <c r="I131" s="90">
        <f t="shared" si="41"/>
        <v>29.855643044619423</v>
      </c>
      <c r="J131" s="90">
        <v>11.4</v>
      </c>
      <c r="K131" s="36">
        <f t="shared" si="30"/>
        <v>666.01760021597158</v>
      </c>
      <c r="L131" s="89">
        <f t="shared" si="31"/>
        <v>25.468238911718515</v>
      </c>
      <c r="M131" s="89">
        <f t="shared" si="32"/>
        <v>32.651588348357073</v>
      </c>
      <c r="N131" s="36">
        <f t="shared" si="38"/>
        <v>-23.451588348357074</v>
      </c>
      <c r="O131" s="36">
        <f t="shared" si="33"/>
        <v>9.1999999999999993</v>
      </c>
      <c r="P131" s="91">
        <v>-334.16</v>
      </c>
      <c r="Q131" s="91">
        <v>78.33</v>
      </c>
      <c r="R131" s="138">
        <f t="shared" si="39"/>
        <v>7.9157284657463384E-2</v>
      </c>
      <c r="S131" s="89">
        <f t="shared" si="34"/>
        <v>12.633076088035248</v>
      </c>
      <c r="T131" s="36">
        <f t="shared" si="35"/>
        <v>0.11745180645984934</v>
      </c>
      <c r="U131" s="89">
        <f t="shared" si="36"/>
        <v>8.5141304347826097</v>
      </c>
      <c r="V131" s="90">
        <v>5.36</v>
      </c>
      <c r="W131" s="90">
        <v>6.23</v>
      </c>
      <c r="X131" s="83">
        <f t="shared" si="37"/>
        <v>15.43</v>
      </c>
      <c r="Y131" s="90">
        <v>7.23</v>
      </c>
      <c r="Z131" s="145" t="s">
        <v>80</v>
      </c>
      <c r="AA131" s="145" t="s">
        <v>93</v>
      </c>
      <c r="AB131" s="154" t="s">
        <v>94</v>
      </c>
      <c r="AC131" s="154" t="s">
        <v>114</v>
      </c>
      <c r="AD131" s="35">
        <f t="shared" si="40"/>
        <v>16.43</v>
      </c>
      <c r="AE131" s="35"/>
      <c r="AF131" s="178"/>
      <c r="AG131" s="178"/>
      <c r="AH131" s="178"/>
      <c r="AI131" s="178"/>
      <c r="AJ131" s="36">
        <v>5.47</v>
      </c>
      <c r="AK131" s="36">
        <v>23.79</v>
      </c>
      <c r="AL131" s="36">
        <v>60.79</v>
      </c>
      <c r="AM131" s="36">
        <v>162.80000000000001</v>
      </c>
      <c r="AN131" s="36"/>
      <c r="AO131" s="36"/>
      <c r="AP131" s="36"/>
      <c r="AQ131" s="36"/>
      <c r="AR131" s="36"/>
      <c r="AS131" s="36"/>
      <c r="AT131" s="35"/>
      <c r="AU131" s="35"/>
      <c r="AV131" s="198" t="s">
        <v>419</v>
      </c>
      <c r="AW131" s="198" t="s">
        <v>417</v>
      </c>
      <c r="AX131" s="199" t="s">
        <v>418</v>
      </c>
      <c r="AY131" s="189"/>
      <c r="AZ131" s="189"/>
      <c r="BA131" s="189"/>
      <c r="BB131" s="126" t="s">
        <v>354</v>
      </c>
    </row>
    <row r="132" spans="1:54" s="214" customFormat="1" ht="12.75" customHeight="1" x14ac:dyDescent="0.25">
      <c r="A132" s="36" t="s">
        <v>192</v>
      </c>
      <c r="B132" s="37"/>
      <c r="C132" s="17"/>
      <c r="D132" s="17"/>
      <c r="E132" s="89" t="s">
        <v>274</v>
      </c>
      <c r="F132" s="89">
        <v>9.1999999999999993</v>
      </c>
      <c r="G132" s="38" t="s">
        <v>364</v>
      </c>
      <c r="H132" s="38">
        <v>9.1</v>
      </c>
      <c r="I132" s="90">
        <f t="shared" si="41"/>
        <v>29.855643044619423</v>
      </c>
      <c r="J132" s="90">
        <v>11.4</v>
      </c>
      <c r="K132" s="36">
        <f t="shared" ref="K132:K145" si="42">(32.2*J132^2)/(2*PI())</f>
        <v>666.01760021597158</v>
      </c>
      <c r="L132" s="89">
        <f t="shared" ref="L132:L145" si="43">I132/(3.3*(I132/K132)^(1/3))</f>
        <v>25.468238911718515</v>
      </c>
      <c r="M132" s="89">
        <f t="shared" ref="M132:M145" si="44">L132/0.78</f>
        <v>32.651588348357073</v>
      </c>
      <c r="N132" s="36">
        <f t="shared" si="38"/>
        <v>-23.451588348357074</v>
      </c>
      <c r="O132" s="36">
        <f t="shared" ref="O132:O145" si="45">F132</f>
        <v>9.1999999999999993</v>
      </c>
      <c r="P132" s="91">
        <v>-2632.4</v>
      </c>
      <c r="Q132" s="91">
        <v>245.5</v>
      </c>
      <c r="R132" s="138">
        <f t="shared" si="39"/>
        <v>1.1345629920552163E-2</v>
      </c>
      <c r="S132" s="89">
        <f t="shared" ref="S132:S145" si="46">1/R132</f>
        <v>88.139663200942181</v>
      </c>
      <c r="T132" s="36">
        <f t="shared" ref="T132:T145" si="47">O132/Q132</f>
        <v>3.7474541751527493E-2</v>
      </c>
      <c r="U132" s="89">
        <f t="shared" ref="U132:U145" si="48">1/T132</f>
        <v>26.684782608695652</v>
      </c>
      <c r="V132" s="90">
        <v>3.63</v>
      </c>
      <c r="W132" s="90"/>
      <c r="X132" s="83">
        <f t="shared" ref="X132:X145" si="49">IF(W132&lt;&gt;"",W132+F132,F132+V132)</f>
        <v>12.829999999999998</v>
      </c>
      <c r="Y132" s="90">
        <v>3.75</v>
      </c>
      <c r="Z132" s="146" t="s">
        <v>79</v>
      </c>
      <c r="AA132" s="90"/>
      <c r="AB132" s="155" t="s">
        <v>93</v>
      </c>
      <c r="AC132" s="35"/>
      <c r="AD132" s="35">
        <f t="shared" si="40"/>
        <v>12.95</v>
      </c>
      <c r="AE132" s="35"/>
      <c r="AF132" s="178"/>
      <c r="AG132" s="178"/>
      <c r="AH132" s="178"/>
      <c r="AI132" s="178"/>
      <c r="AJ132" s="36" t="s">
        <v>346</v>
      </c>
      <c r="AK132" s="36" t="s">
        <v>346</v>
      </c>
      <c r="AL132" s="36"/>
      <c r="AM132" s="36"/>
      <c r="AN132" s="36"/>
      <c r="AO132" s="36"/>
      <c r="AP132" s="36"/>
      <c r="AQ132" s="36"/>
      <c r="AR132" s="36"/>
      <c r="AS132" s="36"/>
      <c r="AT132" s="35"/>
      <c r="AU132" s="35"/>
      <c r="AV132" s="126"/>
      <c r="AW132" s="126"/>
      <c r="AX132" s="250" t="s">
        <v>511</v>
      </c>
      <c r="AY132" s="189"/>
      <c r="AZ132" s="189"/>
      <c r="BA132" s="189"/>
      <c r="BB132" s="126"/>
    </row>
    <row r="133" spans="1:54" s="214" customFormat="1" ht="12.75" customHeight="1" x14ac:dyDescent="0.25">
      <c r="A133" s="36" t="s">
        <v>192</v>
      </c>
      <c r="B133" s="37"/>
      <c r="C133" s="17"/>
      <c r="D133" s="17"/>
      <c r="E133" s="89" t="s">
        <v>275</v>
      </c>
      <c r="F133" s="89">
        <v>9.1999999999999993</v>
      </c>
      <c r="G133" s="38" t="s">
        <v>364</v>
      </c>
      <c r="H133" s="38">
        <v>9.1</v>
      </c>
      <c r="I133" s="90">
        <f t="shared" si="41"/>
        <v>29.855643044619423</v>
      </c>
      <c r="J133" s="90">
        <v>11.4</v>
      </c>
      <c r="K133" s="36">
        <f t="shared" si="42"/>
        <v>666.01760021597158</v>
      </c>
      <c r="L133" s="89">
        <f t="shared" si="43"/>
        <v>25.468238911718515</v>
      </c>
      <c r="M133" s="89">
        <f t="shared" si="44"/>
        <v>32.651588348357073</v>
      </c>
      <c r="N133" s="36">
        <f t="shared" si="38"/>
        <v>-23.451588348357074</v>
      </c>
      <c r="O133" s="36">
        <f t="shared" si="45"/>
        <v>9.1999999999999993</v>
      </c>
      <c r="P133" s="91">
        <v>-1133</v>
      </c>
      <c r="Q133" s="91">
        <v>21.3</v>
      </c>
      <c r="R133" s="138">
        <f t="shared" si="39"/>
        <v>2.8286917047870636E-2</v>
      </c>
      <c r="S133" s="89">
        <f t="shared" si="46"/>
        <v>35.35203211815822</v>
      </c>
      <c r="T133" s="36">
        <f t="shared" si="47"/>
        <v>0.43192488262910794</v>
      </c>
      <c r="U133" s="89">
        <f t="shared" si="48"/>
        <v>2.3152173913043481</v>
      </c>
      <c r="V133" s="90">
        <v>4.3600000000000003</v>
      </c>
      <c r="W133" s="90">
        <v>5.34</v>
      </c>
      <c r="X133" s="83">
        <f t="shared" si="49"/>
        <v>14.54</v>
      </c>
      <c r="Y133" s="90">
        <v>7.04</v>
      </c>
      <c r="Z133" s="146" t="s">
        <v>80</v>
      </c>
      <c r="AA133" s="146" t="s">
        <v>93</v>
      </c>
      <c r="AB133" s="155" t="s">
        <v>94</v>
      </c>
      <c r="AC133" s="155" t="s">
        <v>439</v>
      </c>
      <c r="AD133" s="35">
        <f t="shared" si="40"/>
        <v>16.239999999999998</v>
      </c>
      <c r="AE133" s="35"/>
      <c r="AF133" s="178"/>
      <c r="AG133" s="178"/>
      <c r="AH133" s="178"/>
      <c r="AI133" s="178"/>
      <c r="AJ133" s="36">
        <v>10.94</v>
      </c>
      <c r="AK133" s="36">
        <v>26.835999999999999</v>
      </c>
      <c r="AL133" s="36">
        <v>34.25</v>
      </c>
      <c r="AM133" s="36">
        <v>60.02</v>
      </c>
      <c r="AN133" s="36"/>
      <c r="AO133" s="36"/>
      <c r="AP133" s="36"/>
      <c r="AQ133" s="36"/>
      <c r="AR133" s="36"/>
      <c r="AS133" s="36"/>
      <c r="AT133" s="35"/>
      <c r="AU133" s="35"/>
      <c r="AV133" s="209" t="s">
        <v>440</v>
      </c>
      <c r="AW133" s="209" t="s">
        <v>395</v>
      </c>
      <c r="AX133" s="210" t="s">
        <v>441</v>
      </c>
      <c r="AY133" s="189"/>
      <c r="AZ133" s="189"/>
      <c r="BA133" s="189"/>
      <c r="BB133" s="126" t="s">
        <v>355</v>
      </c>
    </row>
    <row r="134" spans="1:54" s="214" customFormat="1" ht="12.75" customHeight="1" x14ac:dyDescent="0.25">
      <c r="A134" s="36" t="s">
        <v>192</v>
      </c>
      <c r="B134" s="37"/>
      <c r="C134" s="17"/>
      <c r="D134" s="17"/>
      <c r="E134" s="89" t="s">
        <v>276</v>
      </c>
      <c r="F134" s="89">
        <v>9.1999999999999993</v>
      </c>
      <c r="G134" s="38" t="s">
        <v>364</v>
      </c>
      <c r="H134" s="38">
        <v>9.1</v>
      </c>
      <c r="I134" s="90">
        <f t="shared" si="41"/>
        <v>29.855643044619423</v>
      </c>
      <c r="J134" s="90">
        <v>11.4</v>
      </c>
      <c r="K134" s="36">
        <f t="shared" si="42"/>
        <v>666.01760021597158</v>
      </c>
      <c r="L134" s="89">
        <f t="shared" si="43"/>
        <v>25.468238911718515</v>
      </c>
      <c r="M134" s="89">
        <f t="shared" si="44"/>
        <v>32.651588348357073</v>
      </c>
      <c r="N134" s="36">
        <f t="shared" si="38"/>
        <v>-23.451588348357074</v>
      </c>
      <c r="O134" s="36">
        <f t="shared" si="45"/>
        <v>9.1999999999999993</v>
      </c>
      <c r="P134" s="91">
        <v>-777.54</v>
      </c>
      <c r="Q134" s="91">
        <v>60.46</v>
      </c>
      <c r="R134" s="138">
        <f t="shared" si="39"/>
        <v>3.8963709246249492E-2</v>
      </c>
      <c r="S134" s="89">
        <f t="shared" si="46"/>
        <v>25.664907662667062</v>
      </c>
      <c r="T134" s="36">
        <f t="shared" si="47"/>
        <v>0.15216672179953686</v>
      </c>
      <c r="U134" s="89">
        <f t="shared" si="48"/>
        <v>6.5717391304347839</v>
      </c>
      <c r="V134" s="90">
        <v>4.6500000000000004</v>
      </c>
      <c r="W134" s="90">
        <v>5.76</v>
      </c>
      <c r="X134" s="83">
        <f t="shared" si="49"/>
        <v>14.959999999999999</v>
      </c>
      <c r="Y134" s="90">
        <v>9.43</v>
      </c>
      <c r="Z134" s="146" t="s">
        <v>80</v>
      </c>
      <c r="AA134" s="146" t="s">
        <v>94</v>
      </c>
      <c r="AB134" s="155" t="s">
        <v>94</v>
      </c>
      <c r="AC134" s="155" t="s">
        <v>452</v>
      </c>
      <c r="AD134" s="35">
        <f t="shared" si="40"/>
        <v>18.63</v>
      </c>
      <c r="AE134" s="35"/>
      <c r="AF134" s="178"/>
      <c r="AG134" s="178"/>
      <c r="AH134" s="178"/>
      <c r="AI134" s="178"/>
      <c r="AJ134" s="36">
        <v>2.56</v>
      </c>
      <c r="AK134" s="36">
        <v>18.53</v>
      </c>
      <c r="AL134" s="36">
        <v>20</v>
      </c>
      <c r="AM134" s="36">
        <v>106.73</v>
      </c>
      <c r="AN134" s="36"/>
      <c r="AO134" s="36"/>
      <c r="AP134" s="36"/>
      <c r="AQ134" s="36"/>
      <c r="AR134" s="36"/>
      <c r="AS134" s="36"/>
      <c r="AT134" s="35"/>
      <c r="AU134" s="35"/>
      <c r="AV134" s="209" t="s">
        <v>453</v>
      </c>
      <c r="AW134" s="209" t="s">
        <v>395</v>
      </c>
      <c r="AX134" s="189"/>
      <c r="AY134" s="189"/>
      <c r="AZ134" s="189"/>
      <c r="BA134" s="189"/>
      <c r="BB134" s="126"/>
    </row>
    <row r="135" spans="1:54" s="214" customFormat="1" ht="12.75" customHeight="1" x14ac:dyDescent="0.25">
      <c r="A135" s="36" t="s">
        <v>192</v>
      </c>
      <c r="B135" s="37"/>
      <c r="C135" s="17"/>
      <c r="D135" s="17"/>
      <c r="E135" s="89" t="s">
        <v>277</v>
      </c>
      <c r="F135" s="89">
        <v>9.1999999999999993</v>
      </c>
      <c r="G135" s="38" t="s">
        <v>364</v>
      </c>
      <c r="H135" s="38">
        <v>9.1</v>
      </c>
      <c r="I135" s="90">
        <f t="shared" si="41"/>
        <v>29.855643044619423</v>
      </c>
      <c r="J135" s="90">
        <v>11.4</v>
      </c>
      <c r="K135" s="36">
        <f t="shared" si="42"/>
        <v>666.01760021597158</v>
      </c>
      <c r="L135" s="89">
        <f t="shared" si="43"/>
        <v>25.468238911718515</v>
      </c>
      <c r="M135" s="89">
        <f t="shared" si="44"/>
        <v>32.651588348357073</v>
      </c>
      <c r="N135" s="36">
        <f t="shared" si="38"/>
        <v>-23.451588348357074</v>
      </c>
      <c r="O135" s="36">
        <f t="shared" si="45"/>
        <v>9.1999999999999993</v>
      </c>
      <c r="P135" s="91">
        <v>-1273.8</v>
      </c>
      <c r="Q135" s="91">
        <v>58.2</v>
      </c>
      <c r="R135" s="138">
        <f t="shared" si="39"/>
        <v>2.4513204465733539E-2</v>
      </c>
      <c r="S135" s="89">
        <f t="shared" si="46"/>
        <v>40.794340103427835</v>
      </c>
      <c r="T135" s="36">
        <f t="shared" si="47"/>
        <v>0.15807560137457044</v>
      </c>
      <c r="U135" s="89">
        <f t="shared" si="48"/>
        <v>6.3260869565217392</v>
      </c>
      <c r="V135" s="90">
        <v>4.24</v>
      </c>
      <c r="W135" s="90">
        <v>5.53</v>
      </c>
      <c r="X135" s="83">
        <f t="shared" si="49"/>
        <v>14.73</v>
      </c>
      <c r="Y135" s="90">
        <v>12.71</v>
      </c>
      <c r="Z135" s="146" t="s">
        <v>80</v>
      </c>
      <c r="AA135" s="146" t="s">
        <v>94</v>
      </c>
      <c r="AB135" s="232" t="s">
        <v>94</v>
      </c>
      <c r="AC135" s="155" t="s">
        <v>445</v>
      </c>
      <c r="AD135" s="35">
        <f t="shared" si="40"/>
        <v>21.91</v>
      </c>
      <c r="AE135" s="35"/>
      <c r="AF135" s="178"/>
      <c r="AG135" s="178"/>
      <c r="AH135" s="178"/>
      <c r="AI135" s="178"/>
      <c r="AJ135" s="36">
        <v>0.28999999999999998</v>
      </c>
      <c r="AK135" s="36">
        <v>13.46</v>
      </c>
      <c r="AL135" s="36">
        <v>14</v>
      </c>
      <c r="AM135" s="36">
        <v>74</v>
      </c>
      <c r="AN135" s="36"/>
      <c r="AO135" s="36"/>
      <c r="AP135" s="36"/>
      <c r="AQ135" s="36"/>
      <c r="AR135" s="36"/>
      <c r="AS135" s="36"/>
      <c r="AT135" s="35"/>
      <c r="AU135" s="35"/>
      <c r="AV135" s="209" t="s">
        <v>443</v>
      </c>
      <c r="AW135" s="209" t="s">
        <v>442</v>
      </c>
      <c r="AX135" s="210" t="s">
        <v>444</v>
      </c>
      <c r="AY135" s="189"/>
      <c r="AZ135" s="189"/>
      <c r="BA135" s="189"/>
      <c r="BB135" s="126"/>
    </row>
    <row r="136" spans="1:54" s="214" customFormat="1" ht="12.75" customHeight="1" x14ac:dyDescent="0.25">
      <c r="A136" s="36" t="s">
        <v>192</v>
      </c>
      <c r="B136" s="37"/>
      <c r="C136" s="17"/>
      <c r="D136" s="17"/>
      <c r="E136" s="89" t="s">
        <v>278</v>
      </c>
      <c r="F136" s="89">
        <v>9.1999999999999993</v>
      </c>
      <c r="G136" s="38" t="s">
        <v>364</v>
      </c>
      <c r="H136" s="38">
        <v>6.7</v>
      </c>
      <c r="I136" s="90">
        <f t="shared" si="41"/>
        <v>21.981627296587927</v>
      </c>
      <c r="J136" s="90">
        <v>11.3</v>
      </c>
      <c r="K136" s="36">
        <f t="shared" si="42"/>
        <v>654.38432880561265</v>
      </c>
      <c r="L136" s="89">
        <f t="shared" si="43"/>
        <v>20.644462667736303</v>
      </c>
      <c r="M136" s="89">
        <f t="shared" si="44"/>
        <v>26.467259830431157</v>
      </c>
      <c r="N136" s="36">
        <f t="shared" si="38"/>
        <v>-17.267259830431158</v>
      </c>
      <c r="O136" s="36">
        <f t="shared" si="45"/>
        <v>9.1999999999999993</v>
      </c>
      <c r="P136" s="91">
        <v>-1715.8</v>
      </c>
      <c r="Q136" s="91">
        <v>184.5</v>
      </c>
      <c r="R136" s="138">
        <f t="shared" si="39"/>
        <v>1.3927937604815638E-2</v>
      </c>
      <c r="S136" s="89">
        <f t="shared" si="46"/>
        <v>71.798138990387642</v>
      </c>
      <c r="T136" s="36">
        <f t="shared" si="47"/>
        <v>4.9864498644986446E-2</v>
      </c>
      <c r="U136" s="89">
        <f t="shared" si="48"/>
        <v>20.054347826086957</v>
      </c>
      <c r="V136" s="90">
        <v>2.95</v>
      </c>
      <c r="W136" s="90"/>
      <c r="X136" s="83">
        <f t="shared" si="49"/>
        <v>12.149999999999999</v>
      </c>
      <c r="Y136" s="90">
        <v>2.54</v>
      </c>
      <c r="Z136" s="146" t="s">
        <v>79</v>
      </c>
      <c r="AA136" s="90"/>
      <c r="AB136" s="125" t="s">
        <v>93</v>
      </c>
      <c r="AC136" s="35"/>
      <c r="AD136" s="35">
        <f t="shared" si="40"/>
        <v>11.739999999999998</v>
      </c>
      <c r="AE136" s="35"/>
      <c r="AF136" s="178"/>
      <c r="AG136" s="178"/>
      <c r="AH136" s="178"/>
      <c r="AI136" s="178"/>
      <c r="AJ136" s="36"/>
      <c r="AK136" s="36"/>
      <c r="AL136" s="36"/>
      <c r="AM136" s="36"/>
      <c r="AN136" s="36"/>
      <c r="AO136" s="36"/>
      <c r="AP136" s="36"/>
      <c r="AQ136" s="36"/>
      <c r="AR136" s="36"/>
      <c r="AS136" s="36"/>
      <c r="AT136" s="35"/>
      <c r="AU136" s="35"/>
      <c r="AV136" s="126"/>
      <c r="AW136" s="126"/>
      <c r="AX136" s="210" t="s">
        <v>446</v>
      </c>
      <c r="AY136" s="189"/>
      <c r="AZ136" s="189"/>
      <c r="BA136" s="189"/>
      <c r="BB136" s="126" t="s">
        <v>356</v>
      </c>
    </row>
    <row r="137" spans="1:54" s="214" customFormat="1" ht="12.75" customHeight="1" x14ac:dyDescent="0.25">
      <c r="A137" s="36" t="s">
        <v>192</v>
      </c>
      <c r="B137" s="37"/>
      <c r="C137" s="17"/>
      <c r="D137" s="17"/>
      <c r="E137" s="89" t="s">
        <v>279</v>
      </c>
      <c r="F137" s="89">
        <v>9.1999999999999993</v>
      </c>
      <c r="G137" s="38" t="s">
        <v>364</v>
      </c>
      <c r="H137" s="38">
        <v>9.1</v>
      </c>
      <c r="I137" s="90">
        <f t="shared" si="41"/>
        <v>29.855643044619423</v>
      </c>
      <c r="J137" s="90">
        <v>11.4</v>
      </c>
      <c r="K137" s="36">
        <f t="shared" si="42"/>
        <v>666.01760021597158</v>
      </c>
      <c r="L137" s="89">
        <f t="shared" si="43"/>
        <v>25.468238911718515</v>
      </c>
      <c r="M137" s="89">
        <f t="shared" si="44"/>
        <v>32.651588348357073</v>
      </c>
      <c r="N137" s="36">
        <f t="shared" si="38"/>
        <v>-23.451588348357074</v>
      </c>
      <c r="O137" s="36">
        <f t="shared" si="45"/>
        <v>9.1999999999999993</v>
      </c>
      <c r="P137" s="91">
        <v>-561.4</v>
      </c>
      <c r="Q137" s="91">
        <v>73.5</v>
      </c>
      <c r="R137" s="138">
        <f t="shared" si="39"/>
        <v>5.1427923056161715E-2</v>
      </c>
      <c r="S137" s="89">
        <f t="shared" si="46"/>
        <v>19.44468958833809</v>
      </c>
      <c r="T137" s="36">
        <f t="shared" si="47"/>
        <v>0.12517006802721087</v>
      </c>
      <c r="U137" s="89">
        <f t="shared" si="48"/>
        <v>7.9891304347826093</v>
      </c>
      <c r="V137" s="90">
        <v>4.92</v>
      </c>
      <c r="W137" s="90">
        <v>6.19</v>
      </c>
      <c r="X137" s="83">
        <f t="shared" si="49"/>
        <v>15.39</v>
      </c>
      <c r="Y137" s="90">
        <v>12.57</v>
      </c>
      <c r="Z137" s="146" t="s">
        <v>80</v>
      </c>
      <c r="AA137" s="146" t="s">
        <v>94</v>
      </c>
      <c r="AB137" s="232" t="s">
        <v>94</v>
      </c>
      <c r="AC137" s="155" t="s">
        <v>425</v>
      </c>
      <c r="AD137" s="35">
        <f t="shared" si="40"/>
        <v>21.77</v>
      </c>
      <c r="AE137" s="35"/>
      <c r="AF137" s="178"/>
      <c r="AG137" s="178"/>
      <c r="AH137" s="178"/>
      <c r="AI137" s="178"/>
      <c r="AJ137" s="36">
        <v>0.82</v>
      </c>
      <c r="AK137" s="36">
        <v>18.13</v>
      </c>
      <c r="AL137" s="36">
        <v>28.86</v>
      </c>
      <c r="AM137" s="36">
        <v>88.86</v>
      </c>
      <c r="AN137" s="36"/>
      <c r="AO137" s="36"/>
      <c r="AP137" s="36"/>
      <c r="AQ137" s="36"/>
      <c r="AR137" s="36"/>
      <c r="AS137" s="36"/>
      <c r="AT137" s="35"/>
      <c r="AU137" s="35"/>
      <c r="AV137" s="209" t="s">
        <v>449</v>
      </c>
      <c r="AW137" s="209" t="s">
        <v>412</v>
      </c>
      <c r="AX137" s="210" t="s">
        <v>421</v>
      </c>
      <c r="AY137" s="189"/>
      <c r="AZ137" s="189"/>
      <c r="BA137" s="189"/>
      <c r="BB137" s="126" t="s">
        <v>357</v>
      </c>
    </row>
    <row r="138" spans="1:54" s="214" customFormat="1" ht="12.75" customHeight="1" x14ac:dyDescent="0.25">
      <c r="A138" s="36" t="s">
        <v>192</v>
      </c>
      <c r="B138" s="37"/>
      <c r="C138" s="17"/>
      <c r="D138" s="17"/>
      <c r="E138" s="89" t="s">
        <v>280</v>
      </c>
      <c r="F138" s="89">
        <v>9.1999999999999993</v>
      </c>
      <c r="G138" s="38" t="s">
        <v>364</v>
      </c>
      <c r="H138" s="38">
        <v>9.1</v>
      </c>
      <c r="I138" s="90">
        <f t="shared" si="41"/>
        <v>29.855643044619423</v>
      </c>
      <c r="J138" s="90">
        <v>11.4</v>
      </c>
      <c r="K138" s="36">
        <f t="shared" si="42"/>
        <v>666.01760021597158</v>
      </c>
      <c r="L138" s="89">
        <f t="shared" si="43"/>
        <v>25.468238911718515</v>
      </c>
      <c r="M138" s="89">
        <f t="shared" si="44"/>
        <v>32.651588348357073</v>
      </c>
      <c r="N138" s="36">
        <f t="shared" si="38"/>
        <v>-23.451588348357074</v>
      </c>
      <c r="O138" s="36">
        <f t="shared" si="45"/>
        <v>9.1999999999999993</v>
      </c>
      <c r="P138" s="91">
        <v>-875.1</v>
      </c>
      <c r="Q138" s="91">
        <v>66.287000000000006</v>
      </c>
      <c r="R138" s="138">
        <f t="shared" si="39"/>
        <v>3.4684554118929907E-2</v>
      </c>
      <c r="S138" s="89">
        <f t="shared" si="46"/>
        <v>28.83127736257179</v>
      </c>
      <c r="T138" s="36">
        <f t="shared" si="47"/>
        <v>0.13879041139288245</v>
      </c>
      <c r="U138" s="89">
        <f t="shared" si="48"/>
        <v>7.205108695652175</v>
      </c>
      <c r="V138" s="90">
        <v>4.54</v>
      </c>
      <c r="W138" s="90">
        <v>5.9</v>
      </c>
      <c r="X138" s="83">
        <f t="shared" si="49"/>
        <v>15.1</v>
      </c>
      <c r="Y138" s="90">
        <v>11.66</v>
      </c>
      <c r="Z138" s="145" t="s">
        <v>80</v>
      </c>
      <c r="AA138" s="230" t="s">
        <v>93</v>
      </c>
      <c r="AB138" s="154" t="s">
        <v>94</v>
      </c>
      <c r="AC138" s="154" t="s">
        <v>420</v>
      </c>
      <c r="AD138" s="35">
        <f t="shared" si="40"/>
        <v>20.86</v>
      </c>
      <c r="AE138" s="35"/>
      <c r="AF138" s="178"/>
      <c r="AG138" s="178"/>
      <c r="AH138" s="178"/>
      <c r="AI138" s="178"/>
      <c r="AJ138" s="36">
        <v>0</v>
      </c>
      <c r="AK138" s="36">
        <v>21.2</v>
      </c>
      <c r="AL138" s="36">
        <v>0</v>
      </c>
      <c r="AM138" s="36">
        <v>117.26</v>
      </c>
      <c r="AN138" s="36"/>
      <c r="AO138" s="36"/>
      <c r="AP138" s="36"/>
      <c r="AQ138" s="36"/>
      <c r="AR138" s="36"/>
      <c r="AS138" s="36"/>
      <c r="AT138" s="35"/>
      <c r="AU138" s="35"/>
      <c r="AV138" s="198" t="s">
        <v>422</v>
      </c>
      <c r="AW138" s="198" t="s">
        <v>412</v>
      </c>
      <c r="AX138" s="199" t="s">
        <v>421</v>
      </c>
      <c r="AY138" s="189"/>
      <c r="AZ138" s="189"/>
      <c r="BA138" s="189"/>
      <c r="BB138" s="126"/>
    </row>
    <row r="139" spans="1:54" s="214" customFormat="1" ht="12.75" customHeight="1" x14ac:dyDescent="0.25">
      <c r="A139" s="36" t="s">
        <v>192</v>
      </c>
      <c r="B139" s="37"/>
      <c r="C139" s="17"/>
      <c r="D139" s="17"/>
      <c r="E139" s="89" t="s">
        <v>281</v>
      </c>
      <c r="F139" s="89">
        <v>9.1999999999999993</v>
      </c>
      <c r="G139" s="38" t="s">
        <v>364</v>
      </c>
      <c r="H139" s="38">
        <v>9.1</v>
      </c>
      <c r="I139" s="90">
        <f t="shared" si="41"/>
        <v>29.855643044619423</v>
      </c>
      <c r="J139" s="90">
        <v>11.4</v>
      </c>
      <c r="K139" s="36">
        <f t="shared" si="42"/>
        <v>666.01760021597158</v>
      </c>
      <c r="L139" s="89">
        <f t="shared" si="43"/>
        <v>25.468238911718515</v>
      </c>
      <c r="M139" s="89">
        <f t="shared" si="44"/>
        <v>32.651588348357073</v>
      </c>
      <c r="N139" s="36">
        <f t="shared" si="38"/>
        <v>-23.451588348357074</v>
      </c>
      <c r="O139" s="36">
        <f t="shared" si="45"/>
        <v>9.1999999999999993</v>
      </c>
      <c r="P139" s="91">
        <v>-926.01</v>
      </c>
      <c r="Q139" s="91">
        <v>163.87</v>
      </c>
      <c r="R139" s="138">
        <f t="shared" si="39"/>
        <v>2.9958883866441324E-2</v>
      </c>
      <c r="S139" s="89">
        <f t="shared" si="46"/>
        <v>33.379080624567521</v>
      </c>
      <c r="T139" s="36">
        <f t="shared" si="47"/>
        <v>5.6142063831085609E-2</v>
      </c>
      <c r="U139" s="89">
        <f t="shared" si="48"/>
        <v>17.811956521739134</v>
      </c>
      <c r="V139" s="90">
        <v>4.41</v>
      </c>
      <c r="W139" s="90"/>
      <c r="X139" s="83">
        <f t="shared" si="49"/>
        <v>13.61</v>
      </c>
      <c r="Y139" s="90">
        <v>3.71</v>
      </c>
      <c r="Z139" s="124" t="s">
        <v>79</v>
      </c>
      <c r="AA139" s="150" t="s">
        <v>94</v>
      </c>
      <c r="AB139" s="154" t="s">
        <v>93</v>
      </c>
      <c r="AC139" s="35"/>
      <c r="AD139" s="35">
        <f t="shared" si="40"/>
        <v>12.91</v>
      </c>
      <c r="AE139" s="35"/>
      <c r="AF139" s="178"/>
      <c r="AG139" s="178"/>
      <c r="AH139" s="178"/>
      <c r="AI139" s="178"/>
      <c r="AJ139" s="36" t="s">
        <v>346</v>
      </c>
      <c r="AK139" s="36" t="s">
        <v>346</v>
      </c>
      <c r="AL139" s="36"/>
      <c r="AM139" s="36"/>
      <c r="AN139" s="36"/>
      <c r="AO139" s="36"/>
      <c r="AP139" s="36"/>
      <c r="AQ139" s="36"/>
      <c r="AR139" s="36"/>
      <c r="AS139" s="36"/>
      <c r="AT139" s="35"/>
      <c r="AU139" s="35"/>
      <c r="AV139" s="126"/>
      <c r="AW139" s="126"/>
      <c r="AX139" s="189"/>
      <c r="AY139" s="189"/>
      <c r="AZ139" s="189"/>
      <c r="BA139" s="189"/>
      <c r="BB139" s="126"/>
    </row>
    <row r="140" spans="1:54" s="214" customFormat="1" ht="12.75" customHeight="1" x14ac:dyDescent="0.25">
      <c r="A140" s="36" t="s">
        <v>192</v>
      </c>
      <c r="B140" s="37"/>
      <c r="C140" s="17"/>
      <c r="D140" s="17"/>
      <c r="E140" s="89" t="s">
        <v>282</v>
      </c>
      <c r="F140" s="89">
        <v>9.1999999999999993</v>
      </c>
      <c r="G140" s="38" t="s">
        <v>364</v>
      </c>
      <c r="H140" s="38">
        <v>9.1</v>
      </c>
      <c r="I140" s="90">
        <f t="shared" si="41"/>
        <v>29.855643044619423</v>
      </c>
      <c r="J140" s="90">
        <v>11.4</v>
      </c>
      <c r="K140" s="36">
        <f t="shared" si="42"/>
        <v>666.01760021597158</v>
      </c>
      <c r="L140" s="89">
        <f t="shared" si="43"/>
        <v>25.468238911718515</v>
      </c>
      <c r="M140" s="89">
        <f t="shared" si="44"/>
        <v>32.651588348357073</v>
      </c>
      <c r="N140" s="36">
        <f t="shared" si="38"/>
        <v>-23.451588348357074</v>
      </c>
      <c r="O140" s="36">
        <f t="shared" si="45"/>
        <v>9.1999999999999993</v>
      </c>
      <c r="P140" s="91">
        <v>-292.81</v>
      </c>
      <c r="Q140" s="91">
        <v>106.33</v>
      </c>
      <c r="R140" s="138">
        <f t="shared" si="39"/>
        <v>8.1804851301190251E-2</v>
      </c>
      <c r="S140" s="89">
        <f t="shared" si="46"/>
        <v>12.224213895557195</v>
      </c>
      <c r="T140" s="36">
        <f t="shared" si="47"/>
        <v>8.652308849807204E-2</v>
      </c>
      <c r="U140" s="89">
        <f t="shared" si="48"/>
        <v>11.557608695652174</v>
      </c>
      <c r="V140" s="90">
        <v>5.39</v>
      </c>
      <c r="W140" s="90">
        <v>6.59</v>
      </c>
      <c r="X140" s="83">
        <f t="shared" si="49"/>
        <v>15.79</v>
      </c>
      <c r="Y140" s="90">
        <v>10.66</v>
      </c>
      <c r="Z140" s="145" t="s">
        <v>80</v>
      </c>
      <c r="AA140" s="145" t="s">
        <v>93</v>
      </c>
      <c r="AB140" s="154" t="s">
        <v>94</v>
      </c>
      <c r="AC140" s="154" t="s">
        <v>423</v>
      </c>
      <c r="AD140" s="35">
        <f t="shared" si="40"/>
        <v>19.86</v>
      </c>
      <c r="AE140" s="35"/>
      <c r="AF140" s="178"/>
      <c r="AG140" s="178"/>
      <c r="AH140" s="178"/>
      <c r="AI140" s="178"/>
      <c r="AJ140" s="158">
        <v>1.77</v>
      </c>
      <c r="AK140" s="158">
        <v>28.96</v>
      </c>
      <c r="AL140" s="158">
        <v>53.87</v>
      </c>
      <c r="AM140" s="158">
        <v>185.87</v>
      </c>
      <c r="AN140" s="36"/>
      <c r="AO140" s="36"/>
      <c r="AP140" s="36"/>
      <c r="AQ140" s="36"/>
      <c r="AR140" s="36"/>
      <c r="AS140" s="36"/>
      <c r="AT140" s="35"/>
      <c r="AU140" s="35"/>
      <c r="AV140" s="198" t="s">
        <v>424</v>
      </c>
      <c r="AW140" s="198" t="s">
        <v>412</v>
      </c>
      <c r="AX140" s="199" t="s">
        <v>421</v>
      </c>
      <c r="AY140" s="189"/>
      <c r="AZ140" s="189"/>
      <c r="BA140" s="189"/>
      <c r="BB140" s="126" t="s">
        <v>358</v>
      </c>
    </row>
    <row r="141" spans="1:54" s="214" customFormat="1" ht="12.75" customHeight="1" x14ac:dyDescent="0.25">
      <c r="A141" s="36" t="s">
        <v>192</v>
      </c>
      <c r="B141" s="37"/>
      <c r="C141" s="17"/>
      <c r="D141" s="17"/>
      <c r="E141" s="89" t="s">
        <v>221</v>
      </c>
      <c r="F141" s="89">
        <v>9.1999999999999993</v>
      </c>
      <c r="G141" s="38" t="s">
        <v>364</v>
      </c>
      <c r="H141" s="38">
        <v>9.1</v>
      </c>
      <c r="I141" s="90">
        <f t="shared" si="41"/>
        <v>29.855643044619423</v>
      </c>
      <c r="J141" s="90">
        <v>11.4</v>
      </c>
      <c r="K141" s="36">
        <f t="shared" si="42"/>
        <v>666.01760021597158</v>
      </c>
      <c r="L141" s="89">
        <f t="shared" si="43"/>
        <v>25.468238911718515</v>
      </c>
      <c r="M141" s="89">
        <f t="shared" si="44"/>
        <v>32.651588348357073</v>
      </c>
      <c r="N141" s="36">
        <f t="shared" si="38"/>
        <v>-23.451588348357074</v>
      </c>
      <c r="O141" s="36">
        <f t="shared" si="45"/>
        <v>9.1999999999999993</v>
      </c>
      <c r="P141" s="91">
        <v>-461.44</v>
      </c>
      <c r="Q141" s="91">
        <v>113.91</v>
      </c>
      <c r="R141" s="138">
        <f t="shared" si="39"/>
        <v>5.6750827058932946E-2</v>
      </c>
      <c r="S141" s="89">
        <f t="shared" si="46"/>
        <v>17.620888572452859</v>
      </c>
      <c r="T141" s="36">
        <f t="shared" si="47"/>
        <v>8.0765516635940657E-2</v>
      </c>
      <c r="U141" s="89">
        <f t="shared" si="48"/>
        <v>12.381521739130434</v>
      </c>
      <c r="V141" s="90">
        <v>5.01</v>
      </c>
      <c r="W141" s="90">
        <v>5.99</v>
      </c>
      <c r="X141" s="83">
        <f t="shared" si="49"/>
        <v>15.19</v>
      </c>
      <c r="Y141" s="90">
        <v>7.86</v>
      </c>
      <c r="Z141" s="145" t="s">
        <v>80</v>
      </c>
      <c r="AA141" s="145" t="s">
        <v>94</v>
      </c>
      <c r="AB141" s="154" t="s">
        <v>94</v>
      </c>
      <c r="AC141" s="154" t="s">
        <v>423</v>
      </c>
      <c r="AD141" s="35">
        <f t="shared" si="40"/>
        <v>17.059999999999999</v>
      </c>
      <c r="AE141" s="35"/>
      <c r="AF141" s="178"/>
      <c r="AG141" s="178"/>
      <c r="AH141" s="178"/>
      <c r="AI141" s="178"/>
      <c r="AJ141" s="36">
        <v>4.0780000000000003</v>
      </c>
      <c r="AK141" s="36">
        <v>15.058999999999999</v>
      </c>
      <c r="AL141" s="36">
        <v>84.75</v>
      </c>
      <c r="AM141" s="36">
        <v>124.495</v>
      </c>
      <c r="AN141" s="36"/>
      <c r="AO141" s="36"/>
      <c r="AP141" s="36"/>
      <c r="AQ141" s="36"/>
      <c r="AR141" s="36"/>
      <c r="AS141" s="36"/>
      <c r="AT141" s="35"/>
      <c r="AU141" s="35"/>
      <c r="AV141" s="198" t="s">
        <v>424</v>
      </c>
      <c r="AW141" s="198" t="s">
        <v>412</v>
      </c>
      <c r="AX141" s="199" t="s">
        <v>421</v>
      </c>
      <c r="AY141" s="189"/>
      <c r="AZ141" s="189"/>
      <c r="BA141" s="189"/>
      <c r="BB141" s="126" t="s">
        <v>359</v>
      </c>
    </row>
    <row r="142" spans="1:54" s="214" customFormat="1" ht="12.75" customHeight="1" x14ac:dyDescent="0.25">
      <c r="A142" s="36" t="s">
        <v>192</v>
      </c>
      <c r="B142" s="37"/>
      <c r="C142" s="17"/>
      <c r="D142" s="17"/>
      <c r="E142" s="89" t="s">
        <v>222</v>
      </c>
      <c r="F142" s="89">
        <v>9.1999999999999993</v>
      </c>
      <c r="G142" s="38" t="s">
        <v>364</v>
      </c>
      <c r="H142" s="38">
        <v>9.1</v>
      </c>
      <c r="I142" s="90">
        <f t="shared" si="41"/>
        <v>29.855643044619423</v>
      </c>
      <c r="J142" s="90">
        <v>11.4</v>
      </c>
      <c r="K142" s="36">
        <f t="shared" si="42"/>
        <v>666.01760021597158</v>
      </c>
      <c r="L142" s="89">
        <f t="shared" si="43"/>
        <v>25.468238911718515</v>
      </c>
      <c r="M142" s="89">
        <f t="shared" si="44"/>
        <v>32.651588348357073</v>
      </c>
      <c r="N142" s="36">
        <f t="shared" si="38"/>
        <v>-23.451588348357074</v>
      </c>
      <c r="O142" s="36">
        <f t="shared" si="45"/>
        <v>9.1999999999999993</v>
      </c>
      <c r="P142" s="91">
        <v>-1516.74</v>
      </c>
      <c r="Q142" s="91">
        <v>58.51</v>
      </c>
      <c r="R142" s="138">
        <f t="shared" si="39"/>
        <v>2.0727877066089237E-2</v>
      </c>
      <c r="S142" s="89">
        <f t="shared" si="46"/>
        <v>48.244207393336865</v>
      </c>
      <c r="T142" s="36">
        <f t="shared" si="47"/>
        <v>0.15723807896086139</v>
      </c>
      <c r="U142" s="89">
        <f t="shared" si="48"/>
        <v>6.3597826086956522</v>
      </c>
      <c r="V142" s="90">
        <v>4.0999999999999996</v>
      </c>
      <c r="W142" s="90">
        <v>5.46</v>
      </c>
      <c r="X142" s="83">
        <f t="shared" si="49"/>
        <v>14.66</v>
      </c>
      <c r="Y142" s="90">
        <v>12.98</v>
      </c>
      <c r="Z142" s="144" t="s">
        <v>80</v>
      </c>
      <c r="AA142" s="144" t="s">
        <v>94</v>
      </c>
      <c r="AB142" s="153" t="s">
        <v>94</v>
      </c>
      <c r="AC142" s="157" t="s">
        <v>505</v>
      </c>
      <c r="AD142" s="35">
        <f t="shared" si="40"/>
        <v>22.18</v>
      </c>
      <c r="AE142" s="35"/>
      <c r="AF142" s="178"/>
      <c r="AG142" s="178"/>
      <c r="AH142" s="178"/>
      <c r="AI142" s="178"/>
      <c r="AJ142" s="36">
        <v>0</v>
      </c>
      <c r="AK142" s="36">
        <v>18.323</v>
      </c>
      <c r="AL142" s="36">
        <v>0</v>
      </c>
      <c r="AM142" s="36">
        <v>86.950999999999993</v>
      </c>
      <c r="AN142" s="36"/>
      <c r="AO142" s="36"/>
      <c r="AP142" s="36"/>
      <c r="AQ142" s="36"/>
      <c r="AR142" s="36"/>
      <c r="AS142" s="36"/>
      <c r="AT142" s="35"/>
      <c r="AU142" s="35"/>
      <c r="AV142" s="200" t="s">
        <v>506</v>
      </c>
      <c r="AW142" s="201" t="s">
        <v>517</v>
      </c>
      <c r="AX142" s="189"/>
      <c r="AY142" s="202"/>
      <c r="AZ142" s="189"/>
      <c r="BA142" s="189"/>
      <c r="BB142" s="126" t="s">
        <v>360</v>
      </c>
    </row>
    <row r="143" spans="1:54" s="214" customFormat="1" ht="12.75" customHeight="1" x14ac:dyDescent="0.25">
      <c r="A143" s="36" t="s">
        <v>192</v>
      </c>
      <c r="B143" s="37"/>
      <c r="C143" s="17"/>
      <c r="D143" s="17"/>
      <c r="E143" s="89" t="s">
        <v>223</v>
      </c>
      <c r="F143" s="89">
        <v>9.1999999999999993</v>
      </c>
      <c r="G143" s="38" t="s">
        <v>364</v>
      </c>
      <c r="H143" s="38">
        <v>9.1</v>
      </c>
      <c r="I143" s="90">
        <f t="shared" si="41"/>
        <v>29.855643044619423</v>
      </c>
      <c r="J143" s="90">
        <v>11.4</v>
      </c>
      <c r="K143" s="36">
        <f t="shared" si="42"/>
        <v>666.01760021597158</v>
      </c>
      <c r="L143" s="89">
        <f t="shared" si="43"/>
        <v>25.468238911718515</v>
      </c>
      <c r="M143" s="89">
        <f t="shared" si="44"/>
        <v>32.651588348357073</v>
      </c>
      <c r="N143" s="36">
        <f t="shared" si="38"/>
        <v>-23.451588348357074</v>
      </c>
      <c r="O143" s="36">
        <f t="shared" si="45"/>
        <v>9.1999999999999993</v>
      </c>
      <c r="P143" s="91">
        <v>-296.86</v>
      </c>
      <c r="Q143" s="91">
        <v>30.01</v>
      </c>
      <c r="R143" s="138">
        <f t="shared" si="39"/>
        <v>9.9891664418138931E-2</v>
      </c>
      <c r="S143" s="89">
        <f t="shared" si="46"/>
        <v>10.010845307513106</v>
      </c>
      <c r="T143" s="36">
        <f t="shared" si="47"/>
        <v>0.30656447850716423</v>
      </c>
      <c r="U143" s="89">
        <f t="shared" si="48"/>
        <v>3.2619565217391311</v>
      </c>
      <c r="V143" s="90">
        <v>5.61</v>
      </c>
      <c r="W143" s="90">
        <v>6.49</v>
      </c>
      <c r="X143" s="83">
        <f t="shared" si="49"/>
        <v>15.69</v>
      </c>
      <c r="Y143" s="90">
        <v>14.04</v>
      </c>
      <c r="Z143" s="144" t="s">
        <v>80</v>
      </c>
      <c r="AA143" s="144" t="s">
        <v>93</v>
      </c>
      <c r="AB143" s="153" t="s">
        <v>94</v>
      </c>
      <c r="AC143" s="153" t="s">
        <v>425</v>
      </c>
      <c r="AD143" s="35">
        <f t="shared" si="40"/>
        <v>23.24</v>
      </c>
      <c r="AE143" s="35"/>
      <c r="AF143" s="178"/>
      <c r="AG143" s="178"/>
      <c r="AH143" s="178"/>
      <c r="AI143" s="178"/>
      <c r="AJ143" s="36">
        <v>5.58</v>
      </c>
      <c r="AK143" s="36">
        <v>33.67</v>
      </c>
      <c r="AL143" s="36">
        <v>23.3</v>
      </c>
      <c r="AM143" s="36">
        <v>89.14</v>
      </c>
      <c r="AN143" s="36"/>
      <c r="AO143" s="36"/>
      <c r="AP143" s="36"/>
      <c r="AQ143" s="36"/>
      <c r="AR143" s="36"/>
      <c r="AS143" s="36"/>
      <c r="AT143" s="35"/>
      <c r="AU143" s="35"/>
      <c r="AV143" s="203" t="s">
        <v>426</v>
      </c>
      <c r="AW143" s="203" t="s">
        <v>412</v>
      </c>
      <c r="AX143" s="202" t="s">
        <v>421</v>
      </c>
      <c r="AY143" s="189"/>
      <c r="AZ143" s="189"/>
      <c r="BA143" s="189"/>
      <c r="BB143" s="130"/>
    </row>
    <row r="144" spans="1:54" s="214" customFormat="1" ht="12.75" customHeight="1" x14ac:dyDescent="0.25">
      <c r="A144" s="36" t="s">
        <v>192</v>
      </c>
      <c r="B144" s="37"/>
      <c r="C144" s="17"/>
      <c r="D144" s="17"/>
      <c r="E144" s="89" t="s">
        <v>224</v>
      </c>
      <c r="F144" s="89">
        <v>9.1999999999999993</v>
      </c>
      <c r="G144" s="38" t="s">
        <v>364</v>
      </c>
      <c r="H144" s="38">
        <v>9.1</v>
      </c>
      <c r="I144" s="90">
        <f t="shared" si="41"/>
        <v>29.855643044619423</v>
      </c>
      <c r="J144" s="90">
        <v>11.4</v>
      </c>
      <c r="K144" s="36">
        <f t="shared" si="42"/>
        <v>666.01760021597158</v>
      </c>
      <c r="L144" s="89">
        <f t="shared" si="43"/>
        <v>25.468238911718515</v>
      </c>
      <c r="M144" s="89">
        <f t="shared" si="44"/>
        <v>32.651588348357073</v>
      </c>
      <c r="N144" s="36">
        <f t="shared" si="38"/>
        <v>-23.451588348357074</v>
      </c>
      <c r="O144" s="36">
        <f t="shared" si="45"/>
        <v>9.1999999999999993</v>
      </c>
      <c r="P144" s="91">
        <v>-287.45999999999998</v>
      </c>
      <c r="Q144" s="91">
        <v>44.51</v>
      </c>
      <c r="R144" s="138">
        <f t="shared" si="39"/>
        <v>9.8357045360596071E-2</v>
      </c>
      <c r="S144" s="89">
        <f t="shared" si="46"/>
        <v>10.167039852954156</v>
      </c>
      <c r="T144" s="36">
        <f t="shared" si="47"/>
        <v>0.20669512469108065</v>
      </c>
      <c r="U144" s="89">
        <f t="shared" si="48"/>
        <v>4.8380434782608699</v>
      </c>
      <c r="V144" s="90">
        <v>5.6</v>
      </c>
      <c r="W144" s="90">
        <v>6.6</v>
      </c>
      <c r="X144" s="83">
        <f t="shared" si="49"/>
        <v>15.799999999999999</v>
      </c>
      <c r="Y144" s="90">
        <v>7.55</v>
      </c>
      <c r="Z144" s="144" t="s">
        <v>80</v>
      </c>
      <c r="AA144" s="144" t="s">
        <v>93</v>
      </c>
      <c r="AB144" s="153" t="s">
        <v>94</v>
      </c>
      <c r="AC144" s="153" t="s">
        <v>425</v>
      </c>
      <c r="AD144" s="35">
        <f t="shared" si="40"/>
        <v>16.75</v>
      </c>
      <c r="AE144" s="35"/>
      <c r="AF144" s="178"/>
      <c r="AG144" s="178"/>
      <c r="AH144" s="178"/>
      <c r="AI144" s="178"/>
      <c r="AJ144" s="36">
        <v>4.1306000000000003</v>
      </c>
      <c r="AK144" s="36">
        <v>45.09</v>
      </c>
      <c r="AL144" s="36">
        <v>36.729999999999997</v>
      </c>
      <c r="AM144" s="36">
        <v>172.73</v>
      </c>
      <c r="AN144" s="36"/>
      <c r="AO144" s="36"/>
      <c r="AP144" s="36"/>
      <c r="AQ144" s="36"/>
      <c r="AR144" s="36"/>
      <c r="AS144" s="36"/>
      <c r="AT144" s="35"/>
      <c r="AU144" s="35"/>
      <c r="AV144" s="203" t="s">
        <v>426</v>
      </c>
      <c r="AW144" s="203" t="s">
        <v>412</v>
      </c>
      <c r="AX144" s="202" t="s">
        <v>421</v>
      </c>
      <c r="AY144" s="189"/>
      <c r="AZ144" s="189"/>
      <c r="BA144" s="189"/>
      <c r="BB144" s="126" t="s">
        <v>355</v>
      </c>
    </row>
    <row r="145" spans="1:54" s="214" customFormat="1" ht="12.75" customHeight="1" x14ac:dyDescent="0.25">
      <c r="A145" s="17" t="s">
        <v>192</v>
      </c>
      <c r="B145" s="37"/>
      <c r="C145" s="17"/>
      <c r="D145" s="17"/>
      <c r="E145" s="38" t="s">
        <v>225</v>
      </c>
      <c r="F145" s="38">
        <v>9.1999999999999993</v>
      </c>
      <c r="G145" s="38" t="s">
        <v>364</v>
      </c>
      <c r="H145" s="38">
        <v>9.1</v>
      </c>
      <c r="I145" s="16">
        <f t="shared" si="41"/>
        <v>29.855643044619423</v>
      </c>
      <c r="J145" s="16">
        <v>11.4</v>
      </c>
      <c r="K145" s="17">
        <f t="shared" si="42"/>
        <v>666.01760021597158</v>
      </c>
      <c r="L145" s="18">
        <f t="shared" si="43"/>
        <v>25.468238911718515</v>
      </c>
      <c r="M145" s="18">
        <f t="shared" si="44"/>
        <v>32.651588348357073</v>
      </c>
      <c r="N145" s="19">
        <f t="shared" si="38"/>
        <v>-23.451588348357074</v>
      </c>
      <c r="O145" s="83">
        <f t="shared" si="45"/>
        <v>9.1999999999999993</v>
      </c>
      <c r="P145" s="61">
        <v>-358.98</v>
      </c>
      <c r="Q145" s="61">
        <v>106.53</v>
      </c>
      <c r="R145" s="164">
        <f t="shared" si="39"/>
        <v>7.0141540135243222E-2</v>
      </c>
      <c r="S145" s="39">
        <f t="shared" si="46"/>
        <v>14.256886832993013</v>
      </c>
      <c r="T145" s="19">
        <f t="shared" si="47"/>
        <v>8.636064958227728E-2</v>
      </c>
      <c r="U145" s="39">
        <f t="shared" si="48"/>
        <v>11.579347826086959</v>
      </c>
      <c r="V145" s="40">
        <v>5.23</v>
      </c>
      <c r="W145" s="41">
        <v>6.24</v>
      </c>
      <c r="X145" s="83">
        <f t="shared" si="49"/>
        <v>15.44</v>
      </c>
      <c r="Y145" s="16">
        <v>7.92</v>
      </c>
      <c r="Z145" s="70" t="s">
        <v>80</v>
      </c>
      <c r="AA145" s="70" t="s">
        <v>93</v>
      </c>
      <c r="AB145" s="71" t="s">
        <v>94</v>
      </c>
      <c r="AC145" s="72" t="s">
        <v>423</v>
      </c>
      <c r="AD145" s="45">
        <f t="shared" si="40"/>
        <v>17.119999999999997</v>
      </c>
      <c r="AE145" s="45"/>
      <c r="AF145" s="175"/>
      <c r="AG145" s="176"/>
      <c r="AH145" s="177"/>
      <c r="AI145" s="177"/>
      <c r="AJ145" s="83">
        <v>3.9</v>
      </c>
      <c r="AK145" s="83">
        <v>26.39</v>
      </c>
      <c r="AL145" s="83">
        <v>89.53</v>
      </c>
      <c r="AM145" s="83">
        <v>163.53</v>
      </c>
      <c r="AN145" s="83"/>
      <c r="AO145" s="83"/>
      <c r="AP145" s="83"/>
      <c r="AQ145" s="83"/>
      <c r="AR145" s="83"/>
      <c r="AS145" s="83"/>
      <c r="AT145" s="43"/>
      <c r="AU145" s="44"/>
      <c r="AV145" s="195" t="s">
        <v>424</v>
      </c>
      <c r="AW145" s="195" t="s">
        <v>412</v>
      </c>
      <c r="AX145" s="196" t="s">
        <v>421</v>
      </c>
      <c r="AY145" s="186"/>
      <c r="AZ145" s="186"/>
      <c r="BA145" s="197"/>
      <c r="BB145" s="129" t="s">
        <v>359</v>
      </c>
    </row>
    <row r="1048574" spans="55:55" x14ac:dyDescent="0.2">
      <c r="BC1048574" s="258"/>
    </row>
  </sheetData>
  <mergeCells count="8">
    <mergeCell ref="AT1:BA1"/>
    <mergeCell ref="F1:M1"/>
    <mergeCell ref="N1:S1"/>
    <mergeCell ref="T1:U1"/>
    <mergeCell ref="V1:W1"/>
    <mergeCell ref="Y1:AA1"/>
    <mergeCell ref="AB1:AE1"/>
    <mergeCell ref="AG1:AI1"/>
  </mergeCells>
  <conditionalFormatting sqref="U79:U145">
    <cfRule type="cellIs" dxfId="0" priority="1" operator="lessThan">
      <formula>8</formula>
    </cfRule>
  </conditionalFormatting>
  <pageMargins left="0.7" right="0.7" top="0.75" bottom="0.75" header="0.3" footer="0.3"/>
  <pageSetup orientation="portrait" horizontalDpi="525" verticalDpi="52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doc</vt:lpstr>
      <vt:lpstr>York Submitted CLIN7 2016</vt:lpstr>
    </vt:vector>
  </TitlesOfParts>
  <Company>CDM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CDM</dc:creator>
  <cp:lastModifiedBy>Steven</cp:lastModifiedBy>
  <dcterms:created xsi:type="dcterms:W3CDTF">2010-07-21T01:30:49Z</dcterms:created>
  <dcterms:modified xsi:type="dcterms:W3CDTF">2017-07-21T13:27:34Z</dcterms:modified>
</cp:coreProperties>
</file>